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<sst xmlns="http://schemas.openxmlformats.org/spreadsheetml/2006/main" count="722" uniqueCount="260">
  <si>
    <t>Latitude</t>
  </si>
  <si>
    <t>Longitude</t>
  </si>
  <si>
    <t>Unit</t>
  </si>
  <si>
    <t>Terrane</t>
  </si>
  <si>
    <t>Province</t>
  </si>
  <si>
    <t>Sm</t>
  </si>
  <si>
    <t>Nd</t>
  </si>
  <si>
    <t>Author</t>
  </si>
  <si>
    <t>SA01-68</t>
  </si>
  <si>
    <t>Qudayd metatonalite</t>
  </si>
  <si>
    <t>782 ± 7</t>
  </si>
  <si>
    <t>Jeddah terrane</t>
  </si>
  <si>
    <t>Hargrove et al., 2006</t>
  </si>
  <si>
    <t>SA01-074B</t>
  </si>
  <si>
    <t>Samran group Rhyolite</t>
  </si>
  <si>
    <t>777 ± 28</t>
  </si>
  <si>
    <t>SA01-088</t>
  </si>
  <si>
    <t xml:space="preserve">Misr post-tectonic synite dike </t>
  </si>
  <si>
    <t>~ 700</t>
  </si>
  <si>
    <t>SA01-094</t>
  </si>
  <si>
    <t>Samran group dacite</t>
  </si>
  <si>
    <t>753 ± 6</t>
  </si>
  <si>
    <t>SA01-103</t>
  </si>
  <si>
    <t>Samran group andesite</t>
  </si>
  <si>
    <t>752 ± 4</t>
  </si>
  <si>
    <t>SA01-109A</t>
  </si>
  <si>
    <t>Nakhu granite</t>
  </si>
  <si>
    <t>699 ± 7</t>
  </si>
  <si>
    <t>SA01-110</t>
  </si>
  <si>
    <t>kamil intrusive diorite</t>
  </si>
  <si>
    <t>802 ± 5</t>
  </si>
  <si>
    <t>SA01-123B</t>
  </si>
  <si>
    <t>Qudayd intrusive metatonalite</t>
  </si>
  <si>
    <t>751 ± 5</t>
  </si>
  <si>
    <t>SA03-149</t>
  </si>
  <si>
    <t>Thrawah ophiolite (gabbro)</t>
  </si>
  <si>
    <t>777 ± 17</t>
  </si>
  <si>
    <t>Hijaz terrane</t>
  </si>
  <si>
    <t>SA03-158</t>
  </si>
  <si>
    <t>Mahd group rhyolite</t>
  </si>
  <si>
    <t>777 ± 5</t>
  </si>
  <si>
    <t>SA03-160</t>
  </si>
  <si>
    <t>Ramram intrusive granodiorite</t>
  </si>
  <si>
    <t>769 ± 6</t>
  </si>
  <si>
    <t>SA03-174</t>
  </si>
  <si>
    <t>SA03-215A</t>
  </si>
  <si>
    <t>Mahd group basaltic-andesite</t>
  </si>
  <si>
    <t>SA03-246</t>
  </si>
  <si>
    <t>Raghiyah intrusive granodiorite</t>
  </si>
  <si>
    <t>SA03-267</t>
  </si>
  <si>
    <t>Ramram intrusive granite</t>
  </si>
  <si>
    <t>749 ± 10</t>
  </si>
  <si>
    <t>SA03-269A</t>
  </si>
  <si>
    <t>Dhukhr tonalite</t>
  </si>
  <si>
    <t>803 ± 17</t>
  </si>
  <si>
    <t>SA03-269B</t>
  </si>
  <si>
    <t>~ 771</t>
  </si>
  <si>
    <t>SA03-270</t>
  </si>
  <si>
    <t>Bari granite</t>
  </si>
  <si>
    <t>776 ± 6</t>
  </si>
  <si>
    <t>SA03-271</t>
  </si>
  <si>
    <t>Hufayriyah tonalite</t>
  </si>
  <si>
    <t>785 ± 6</t>
  </si>
  <si>
    <t>SA04-318</t>
  </si>
  <si>
    <t>Kamil intrusive diorite</t>
  </si>
  <si>
    <t>772 ± 6</t>
  </si>
  <si>
    <t>SA04-366</t>
  </si>
  <si>
    <t>Bi'rak microgabbro</t>
  </si>
  <si>
    <t>854 ± 15</t>
  </si>
  <si>
    <t>SA04-367</t>
  </si>
  <si>
    <t>812 ± 23</t>
  </si>
  <si>
    <t>SA04-373</t>
  </si>
  <si>
    <t>Hanak granite</t>
  </si>
  <si>
    <t>596 ± 10</t>
  </si>
  <si>
    <t>SA04-412</t>
  </si>
  <si>
    <t>Dhukhr quartz diorite</t>
  </si>
  <si>
    <t>813 ± 10</t>
  </si>
  <si>
    <t>Z-103</t>
  </si>
  <si>
    <t>Jebel Khida granodiorite</t>
  </si>
  <si>
    <t xml:space="preserve">Khida </t>
  </si>
  <si>
    <t>Saudi Arabia</t>
  </si>
  <si>
    <t>Stacy and Hedge, 1984</t>
  </si>
  <si>
    <t>orbicular bi alk.fsp granite</t>
  </si>
  <si>
    <t>Khida</t>
  </si>
  <si>
    <t>Agar et al., 1992</t>
  </si>
  <si>
    <t>~850</t>
  </si>
  <si>
    <t>1628 ± 200</t>
  </si>
  <si>
    <t>1660 ± 97</t>
  </si>
  <si>
    <t>Z-104</t>
  </si>
  <si>
    <t>Muhayil anorthosite</t>
  </si>
  <si>
    <t>Kabid paragneiss</t>
  </si>
  <si>
    <t>~750</t>
  </si>
  <si>
    <t>Fajirah paragneiss</t>
  </si>
  <si>
    <t>W. ar Rika</t>
  </si>
  <si>
    <t>Haml tonalite</t>
  </si>
  <si>
    <t>649 ± 4</t>
  </si>
  <si>
    <t>Martine diorite</t>
  </si>
  <si>
    <t>704 ± 3</t>
  </si>
  <si>
    <t>Siham</t>
  </si>
  <si>
    <t>Huraymilah diorite gneiss</t>
  </si>
  <si>
    <t>701 ± 5</t>
  </si>
  <si>
    <t>Sawdah</t>
  </si>
  <si>
    <t>Khabid paragneiss</t>
  </si>
  <si>
    <t>Haml monzogranite</t>
  </si>
  <si>
    <t>J al Wask hb gabbro</t>
  </si>
  <si>
    <t>Midyan</t>
  </si>
  <si>
    <t>Caesson et al., 1984</t>
  </si>
  <si>
    <t>J Ess cpx gabbro</t>
  </si>
  <si>
    <t>J Ess hb cpx gabbro</t>
  </si>
  <si>
    <t>AdDawadimi granitoid</t>
  </si>
  <si>
    <t>Eastern arc</t>
  </si>
  <si>
    <t>Stoeser &amp; Frost, 2006</t>
  </si>
  <si>
    <t>Sawdah granitoid</t>
  </si>
  <si>
    <t>Unnamed</t>
  </si>
  <si>
    <t>Ar Rayan</t>
  </si>
  <si>
    <t>J Sitarah</t>
  </si>
  <si>
    <t>Hail granitoid</t>
  </si>
  <si>
    <t>Hijaz granitoid</t>
  </si>
  <si>
    <t>Western arc</t>
  </si>
  <si>
    <t>Hulayfah granitoid</t>
  </si>
  <si>
    <t>Bidah rhyolite</t>
  </si>
  <si>
    <t>~620</t>
  </si>
  <si>
    <t>Malahah</t>
  </si>
  <si>
    <t>AnNimas</t>
  </si>
  <si>
    <t>Al Qarah</t>
  </si>
  <si>
    <t>FA 80</t>
  </si>
  <si>
    <t>Fatima granite</t>
  </si>
  <si>
    <t>Jiddah</t>
  </si>
  <si>
    <t>Duyverman et al., 1982</t>
  </si>
  <si>
    <t>NU 111</t>
  </si>
  <si>
    <t>Nuqrah granite</t>
  </si>
  <si>
    <t>Nuqrah</t>
  </si>
  <si>
    <t>M1</t>
  </si>
  <si>
    <t>Jabal Dabbagh granite</t>
  </si>
  <si>
    <t>M2</t>
  </si>
  <si>
    <t>JCB 91</t>
  </si>
  <si>
    <t>Al Rahadah granite</t>
  </si>
  <si>
    <t>Hail</t>
  </si>
  <si>
    <t>JCB 93</t>
  </si>
  <si>
    <t>YV 76</t>
  </si>
  <si>
    <t>Khanzir granite</t>
  </si>
  <si>
    <t>Saqrah</t>
  </si>
  <si>
    <t>YV 77</t>
  </si>
  <si>
    <t>YV 23</t>
  </si>
  <si>
    <t>Ar Ridayniyah gneiss</t>
  </si>
  <si>
    <t>Ad Dawadimi</t>
  </si>
  <si>
    <t>YV 30</t>
  </si>
  <si>
    <t>GT 35</t>
  </si>
  <si>
    <t>Quday'an leucogneiss</t>
  </si>
  <si>
    <t>Ar Rayn</t>
  </si>
  <si>
    <t>GT 38</t>
  </si>
  <si>
    <t>Al Jur gneiss</t>
  </si>
  <si>
    <t>GT 39</t>
  </si>
  <si>
    <t>Al Jur granodiorite</t>
  </si>
  <si>
    <t>Surgah Fm basalt</t>
  </si>
  <si>
    <t>An Nimas</t>
  </si>
  <si>
    <t>Bokhari and Kramers, 1981</t>
  </si>
  <si>
    <t>Surgah Fm andesite</t>
  </si>
  <si>
    <t>Surgah Fm rhyolite</t>
  </si>
  <si>
    <t>Shwas Fm basalt</t>
  </si>
  <si>
    <t>156A</t>
  </si>
  <si>
    <t>Shwas Fm andesite</t>
  </si>
  <si>
    <t>NA</t>
  </si>
  <si>
    <t>Sample #</t>
  </si>
  <si>
    <t>Initial 143Nd/144Nd</t>
  </si>
  <si>
    <t>Initial etNd</t>
  </si>
  <si>
    <t>DePaolo model age</t>
  </si>
  <si>
    <t>Y92-7/5</t>
  </si>
  <si>
    <t>Y-92-7/7</t>
  </si>
  <si>
    <t>Y92-9/1</t>
  </si>
  <si>
    <t>Y92-12A/2</t>
  </si>
  <si>
    <t>Y92-15/1</t>
  </si>
  <si>
    <t>Y92-15/5</t>
  </si>
  <si>
    <t>Migmatite gniess</t>
  </si>
  <si>
    <t>Granite gneiss</t>
  </si>
  <si>
    <t>Augen gneiss</t>
  </si>
  <si>
    <t>Yemen</t>
  </si>
  <si>
    <t xml:space="preserve">Abas </t>
  </si>
  <si>
    <t>Windley et al., 1996</t>
  </si>
  <si>
    <t>Y92-47/1</t>
  </si>
  <si>
    <t>Y92-48/1</t>
  </si>
  <si>
    <t>Y92-48/3</t>
  </si>
  <si>
    <t>Y92-49/1</t>
  </si>
  <si>
    <t>Y92-49/2</t>
  </si>
  <si>
    <t>Y92-50/1</t>
  </si>
  <si>
    <t>Y92-51/1</t>
  </si>
  <si>
    <t>Y92-52/1</t>
  </si>
  <si>
    <t xml:space="preserve">Al Mahfid </t>
  </si>
  <si>
    <t>BY15E</t>
  </si>
  <si>
    <t>BY21</t>
  </si>
  <si>
    <t>BY30A</t>
  </si>
  <si>
    <t>BY30B</t>
  </si>
  <si>
    <t>BY36B</t>
  </si>
  <si>
    <t>BY92</t>
  </si>
  <si>
    <t>Leucogneiss</t>
  </si>
  <si>
    <t>Y92-19/1</t>
  </si>
  <si>
    <t>Y92-34/1</t>
  </si>
  <si>
    <t>Y92-35/1</t>
  </si>
  <si>
    <t>Y92-37/1</t>
  </si>
  <si>
    <t>Y92-39/1</t>
  </si>
  <si>
    <t>Gabbro</t>
  </si>
  <si>
    <t>Al-Bayda</t>
  </si>
  <si>
    <t>MJG76-24</t>
  </si>
  <si>
    <t>MJG79-19B</t>
  </si>
  <si>
    <t>MJG76-25</t>
  </si>
  <si>
    <t>MJG76-29A</t>
  </si>
  <si>
    <t>MJG76-32A</t>
  </si>
  <si>
    <t>MJG76-10</t>
  </si>
  <si>
    <t>MJG76-23</t>
  </si>
  <si>
    <t>MJG76-23 RPT</t>
  </si>
  <si>
    <t>MJG76-31</t>
  </si>
  <si>
    <t>F25</t>
  </si>
  <si>
    <t>F27</t>
  </si>
  <si>
    <t>Granite dike</t>
  </si>
  <si>
    <t>Granite</t>
  </si>
  <si>
    <t>Metased</t>
  </si>
  <si>
    <t>Gneiss</t>
  </si>
  <si>
    <t>Whitehouse et al., 2001</t>
  </si>
  <si>
    <t>BY-117</t>
  </si>
  <si>
    <t>MJG76-34</t>
  </si>
  <si>
    <t>MJG76-36A</t>
  </si>
  <si>
    <t>MJG76-42A</t>
  </si>
  <si>
    <t>MJG76-43</t>
  </si>
  <si>
    <t>MJG76-52C</t>
  </si>
  <si>
    <t>MJG76-53A</t>
  </si>
  <si>
    <t>MJG76-49B</t>
  </si>
  <si>
    <t>MJG76-57A</t>
  </si>
  <si>
    <t>Quartz diorite</t>
  </si>
  <si>
    <t>Diorite</t>
  </si>
  <si>
    <t>MJG76-53C</t>
  </si>
  <si>
    <t>F4</t>
  </si>
  <si>
    <t>F6</t>
  </si>
  <si>
    <t>F22</t>
  </si>
  <si>
    <t>F23</t>
  </si>
  <si>
    <t>West Yemen</t>
  </si>
  <si>
    <t>Amphibolite</t>
  </si>
  <si>
    <t>Goldstein model age</t>
  </si>
  <si>
    <t>Table 4-2: Nd isotopic data for the Arabian shield</t>
  </si>
  <si>
    <t>780 ± 11</t>
  </si>
  <si>
    <t>Assigned age (Ma)</t>
  </si>
  <si>
    <r>
      <t>147</t>
    </r>
    <r>
      <rPr>
        <b/>
        <sz val="10"/>
        <rFont val="Calibri"/>
        <family val="2"/>
      </rPr>
      <t>Sm/</t>
    </r>
    <r>
      <rPr>
        <b/>
        <vertAlign val="superscript"/>
        <sz val="10"/>
        <rFont val="Calibri"/>
        <family val="2"/>
      </rPr>
      <t>144</t>
    </r>
    <r>
      <rPr>
        <b/>
        <sz val="10"/>
        <rFont val="Calibri"/>
        <family val="2"/>
      </rPr>
      <t>Nd</t>
    </r>
  </si>
  <si>
    <r>
      <t>143</t>
    </r>
    <r>
      <rPr>
        <b/>
        <sz val="10"/>
        <rFont val="Calibri"/>
        <family val="2"/>
      </rPr>
      <t>Nd/</t>
    </r>
    <r>
      <rPr>
        <b/>
        <vertAlign val="superscript"/>
        <sz val="10"/>
        <rFont val="Calibri"/>
        <family val="2"/>
      </rPr>
      <t>144</t>
    </r>
    <r>
      <rPr>
        <b/>
        <sz val="10"/>
        <rFont val="Calibri"/>
        <family val="2"/>
      </rPr>
      <t>Nd</t>
    </r>
  </si>
  <si>
    <r>
      <t>573</t>
    </r>
    <r>
      <rPr>
        <vertAlign val="superscript"/>
        <sz val="8"/>
        <rFont val="Calibri"/>
        <family val="2"/>
      </rPr>
      <t>P</t>
    </r>
  </si>
  <si>
    <r>
      <t>756 ± 6</t>
    </r>
    <r>
      <rPr>
        <vertAlign val="superscript"/>
        <sz val="8"/>
        <rFont val="Calibri"/>
        <family val="2"/>
      </rPr>
      <t>WM</t>
    </r>
  </si>
  <si>
    <r>
      <t>1660 ± 10</t>
    </r>
    <r>
      <rPr>
        <vertAlign val="superscript"/>
        <sz val="8"/>
        <rFont val="Calibri"/>
        <family val="2"/>
      </rPr>
      <t>WM</t>
    </r>
  </si>
  <si>
    <r>
      <t>584</t>
    </r>
    <r>
      <rPr>
        <vertAlign val="superscript"/>
        <sz val="8"/>
        <rFont val="Calibri"/>
        <family val="2"/>
      </rPr>
      <t>F</t>
    </r>
  </si>
  <si>
    <r>
      <t>574</t>
    </r>
    <r>
      <rPr>
        <vertAlign val="superscript"/>
        <sz val="8"/>
        <rFont val="Calibri"/>
        <family val="2"/>
      </rPr>
      <t>G</t>
    </r>
  </si>
  <si>
    <r>
      <t>574</t>
    </r>
    <r>
      <rPr>
        <vertAlign val="superscript"/>
        <sz val="8"/>
        <rFont val="Calibri"/>
        <family val="2"/>
      </rPr>
      <t>F</t>
    </r>
  </si>
  <si>
    <r>
      <t>574</t>
    </r>
    <r>
      <rPr>
        <vertAlign val="superscript"/>
        <sz val="8"/>
        <rFont val="Calibri"/>
        <family val="2"/>
      </rPr>
      <t>I</t>
    </r>
  </si>
  <si>
    <r>
      <t>567</t>
    </r>
    <r>
      <rPr>
        <vertAlign val="superscript"/>
        <sz val="8"/>
        <rFont val="Calibri"/>
        <family val="2"/>
      </rPr>
      <t>J</t>
    </r>
  </si>
  <si>
    <r>
      <t>579</t>
    </r>
    <r>
      <rPr>
        <vertAlign val="superscript"/>
        <sz val="8"/>
        <rFont val="Calibri"/>
        <family val="2"/>
      </rPr>
      <t>J</t>
    </r>
  </si>
  <si>
    <r>
      <t>629</t>
    </r>
    <r>
      <rPr>
        <vertAlign val="superscript"/>
        <sz val="8"/>
        <rFont val="Calibri"/>
        <family val="2"/>
      </rPr>
      <t>AL</t>
    </r>
  </si>
  <si>
    <r>
      <t>613</t>
    </r>
    <r>
      <rPr>
        <vertAlign val="superscript"/>
        <sz val="8"/>
        <rFont val="Calibri"/>
        <family val="2"/>
      </rPr>
      <t>AL</t>
    </r>
  </si>
  <si>
    <r>
      <t>645</t>
    </r>
    <r>
      <rPr>
        <vertAlign val="superscript"/>
        <sz val="8"/>
        <rFont val="Calibri"/>
        <family val="2"/>
      </rPr>
      <t>AL</t>
    </r>
  </si>
  <si>
    <r>
      <t>566</t>
    </r>
    <r>
      <rPr>
        <vertAlign val="superscript"/>
        <sz val="8"/>
        <rFont val="Calibri"/>
        <family val="2"/>
      </rPr>
      <t>CL</t>
    </r>
  </si>
  <si>
    <r>
      <t>566</t>
    </r>
    <r>
      <rPr>
        <vertAlign val="superscript"/>
        <sz val="8"/>
        <rFont val="Calibri"/>
        <family val="2"/>
      </rPr>
      <t>M</t>
    </r>
  </si>
  <si>
    <r>
      <t>~610</t>
    </r>
    <r>
      <rPr>
        <vertAlign val="superscript"/>
        <sz val="8"/>
        <rFont val="Calibri"/>
        <family val="2"/>
      </rPr>
      <t>F</t>
    </r>
  </si>
  <si>
    <r>
      <t>657</t>
    </r>
    <r>
      <rPr>
        <vertAlign val="superscript"/>
        <sz val="8"/>
        <rFont val="Calibri"/>
        <family val="2"/>
      </rPr>
      <t>AL</t>
    </r>
  </si>
  <si>
    <r>
      <t>575</t>
    </r>
    <r>
      <rPr>
        <vertAlign val="superscript"/>
        <sz val="8"/>
        <rFont val="Calibri"/>
        <family val="2"/>
      </rPr>
      <t>AL</t>
    </r>
  </si>
  <si>
    <t>XXXXX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</si>
</sst>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000"/>
    <numFmt numFmtId="166" formatCode="0.000000"/>
    <numFmt numFmtId="167" formatCode="0.000"/>
    <numFmt numFmtId="168" formatCode="0.0"/>
    <numFmt numFmtId="169" formatCode="0.00000"/>
  </numFmts>
  <fonts count="50">
    <font>
      <sz val="10"/>
      <name val="Arial"/>
      <family val="0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vertAlign val="superscript"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12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1" fillId="33" borderId="10" xfId="0" applyFont="1" applyFill="1" applyBorder="1" applyAlignment="1">
      <alignment vertical="top"/>
    </xf>
    <xf numFmtId="0" fontId="21" fillId="33" borderId="10" xfId="0" applyFont="1" applyFill="1" applyBorder="1" applyAlignment="1">
      <alignment horizontal="center" vertical="top" wrapText="1"/>
    </xf>
    <xf numFmtId="49" fontId="21" fillId="33" borderId="10" xfId="0" applyNumberFormat="1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/>
    </xf>
    <xf numFmtId="0" fontId="21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165" fontId="23" fillId="33" borderId="0" xfId="0" applyNumberFormat="1" applyFont="1" applyFill="1" applyBorder="1" applyAlignment="1">
      <alignment horizontal="center" vertical="top" wrapText="1"/>
    </xf>
    <xf numFmtId="49" fontId="23" fillId="33" borderId="0" xfId="0" applyNumberFormat="1" applyFont="1" applyFill="1" applyBorder="1" applyAlignment="1">
      <alignment horizontal="center" vertical="top" wrapText="1"/>
    </xf>
    <xf numFmtId="0" fontId="48" fillId="33" borderId="0" xfId="0" applyFont="1" applyFill="1" applyBorder="1" applyAlignment="1">
      <alignment horizontal="center" vertical="top" wrapText="1"/>
    </xf>
    <xf numFmtId="2" fontId="25" fillId="33" borderId="0" xfId="0" applyNumberFormat="1" applyFont="1" applyFill="1" applyBorder="1" applyAlignment="1">
      <alignment horizontal="center" vertical="top" wrapText="1"/>
    </xf>
    <xf numFmtId="167" fontId="25" fillId="33" borderId="0" xfId="0" applyNumberFormat="1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wrapText="1"/>
    </xf>
    <xf numFmtId="2" fontId="26" fillId="33" borderId="0" xfId="0" applyNumberFormat="1" applyFont="1" applyFill="1" applyBorder="1" applyAlignment="1">
      <alignment horizontal="center" vertical="top" wrapText="1"/>
    </xf>
    <xf numFmtId="167" fontId="26" fillId="33" borderId="0" xfId="0" applyNumberFormat="1" applyFont="1" applyFill="1" applyBorder="1" applyAlignment="1">
      <alignment horizontal="center" vertical="top" wrapText="1"/>
    </xf>
    <xf numFmtId="0" fontId="23" fillId="33" borderId="0" xfId="0" applyFont="1" applyFill="1" applyBorder="1" applyAlignment="1">
      <alignment horizontal="center" vertical="top"/>
    </xf>
    <xf numFmtId="165" fontId="23" fillId="33" borderId="0" xfId="0" applyNumberFormat="1" applyFont="1" applyFill="1" applyBorder="1" applyAlignment="1">
      <alignment horizontal="center"/>
    </xf>
    <xf numFmtId="0" fontId="23" fillId="33" borderId="0" xfId="0" applyNumberFormat="1" applyFont="1" applyFill="1" applyBorder="1" applyAlignment="1">
      <alignment horizontal="center" vertical="top"/>
    </xf>
    <xf numFmtId="165" fontId="23" fillId="33" borderId="0" xfId="0" applyNumberFormat="1" applyFont="1" applyFill="1" applyBorder="1" applyAlignment="1">
      <alignment horizontal="center" vertical="top"/>
    </xf>
    <xf numFmtId="166" fontId="23" fillId="33" borderId="0" xfId="0" applyNumberFormat="1" applyFont="1" applyFill="1" applyBorder="1" applyAlignment="1">
      <alignment horizontal="center"/>
    </xf>
    <xf numFmtId="166" fontId="23" fillId="33" borderId="0" xfId="0" applyNumberFormat="1" applyFont="1" applyFill="1" applyBorder="1" applyAlignment="1">
      <alignment horizontal="center" vertical="top"/>
    </xf>
    <xf numFmtId="2" fontId="23" fillId="33" borderId="0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vertical="top"/>
    </xf>
    <xf numFmtId="2" fontId="25" fillId="33" borderId="0" xfId="0" applyNumberFormat="1" applyFont="1" applyFill="1" applyBorder="1" applyAlignment="1">
      <alignment horizontal="center" vertical="top"/>
    </xf>
    <xf numFmtId="167" fontId="25" fillId="33" borderId="0" xfId="0" applyNumberFormat="1" applyFont="1" applyFill="1" applyBorder="1" applyAlignment="1">
      <alignment horizontal="center" vertical="top"/>
    </xf>
    <xf numFmtId="0" fontId="23" fillId="33" borderId="0" xfId="0" applyFont="1" applyFill="1" applyBorder="1" applyAlignment="1">
      <alignment/>
    </xf>
    <xf numFmtId="0" fontId="23" fillId="33" borderId="13" xfId="0" applyFont="1" applyFill="1" applyBorder="1" applyAlignment="1">
      <alignment/>
    </xf>
    <xf numFmtId="0" fontId="23" fillId="33" borderId="0" xfId="0" applyFont="1" applyFill="1" applyBorder="1" applyAlignment="1">
      <alignment vertical="top"/>
    </xf>
    <xf numFmtId="0" fontId="48" fillId="33" borderId="0" xfId="0" applyFont="1" applyFill="1" applyBorder="1" applyAlignment="1">
      <alignment/>
    </xf>
    <xf numFmtId="49" fontId="23" fillId="33" borderId="0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vertical="top"/>
    </xf>
    <xf numFmtId="0" fontId="23" fillId="33" borderId="12" xfId="0" applyFont="1" applyFill="1" applyBorder="1" applyAlignment="1">
      <alignment horizontal="center" vertical="top" wrapText="1"/>
    </xf>
    <xf numFmtId="49" fontId="23" fillId="33" borderId="12" xfId="0" applyNumberFormat="1" applyFont="1" applyFill="1" applyBorder="1" applyAlignment="1">
      <alignment horizontal="center" vertical="top"/>
    </xf>
    <xf numFmtId="0" fontId="23" fillId="33" borderId="12" xfId="0" applyFont="1" applyFill="1" applyBorder="1" applyAlignment="1">
      <alignment horizontal="center" vertical="top"/>
    </xf>
    <xf numFmtId="0" fontId="23" fillId="33" borderId="12" xfId="0" applyFont="1" applyFill="1" applyBorder="1" applyAlignment="1">
      <alignment/>
    </xf>
    <xf numFmtId="0" fontId="23" fillId="33" borderId="14" xfId="0" applyFont="1" applyFill="1" applyBorder="1" applyAlignment="1">
      <alignment/>
    </xf>
    <xf numFmtId="0" fontId="23" fillId="33" borderId="13" xfId="0" applyFont="1" applyFill="1" applyBorder="1" applyAlignment="1">
      <alignment vertical="top"/>
    </xf>
    <xf numFmtId="0" fontId="23" fillId="33" borderId="13" xfId="0" applyFont="1" applyFill="1" applyBorder="1" applyAlignment="1">
      <alignment horizontal="center" vertical="top" wrapText="1"/>
    </xf>
    <xf numFmtId="49" fontId="23" fillId="33" borderId="13" xfId="0" applyNumberFormat="1" applyFont="1" applyFill="1" applyBorder="1" applyAlignment="1">
      <alignment horizontal="center" vertical="top"/>
    </xf>
    <xf numFmtId="0" fontId="23" fillId="33" borderId="13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/>
    </xf>
    <xf numFmtId="0" fontId="23" fillId="33" borderId="13" xfId="0" applyFont="1" applyFill="1" applyBorder="1" applyAlignment="1">
      <alignment horizontal="center"/>
    </xf>
    <xf numFmtId="0" fontId="48" fillId="33" borderId="13" xfId="0" applyFont="1" applyFill="1" applyBorder="1" applyAlignment="1">
      <alignment/>
    </xf>
    <xf numFmtId="0" fontId="49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28" fillId="33" borderId="13" xfId="0" applyFont="1" applyFill="1" applyBorder="1" applyAlignment="1">
      <alignment horizontal="center" vertical="top" wrapText="1"/>
    </xf>
    <xf numFmtId="165" fontId="28" fillId="33" borderId="13" xfId="0" applyNumberFormat="1" applyFont="1" applyFill="1" applyBorder="1" applyAlignment="1">
      <alignment horizontal="center" vertical="top" wrapText="1"/>
    </xf>
    <xf numFmtId="49" fontId="28" fillId="33" borderId="13" xfId="0" applyNumberFormat="1" applyFont="1" applyFill="1" applyBorder="1" applyAlignment="1">
      <alignment horizontal="center" vertical="top" wrapText="1"/>
    </xf>
    <xf numFmtId="166" fontId="28" fillId="33" borderId="13" xfId="0" applyNumberFormat="1" applyFont="1" applyFill="1" applyBorder="1" applyAlignment="1">
      <alignment horizontal="center" vertical="top" wrapText="1"/>
    </xf>
    <xf numFmtId="2" fontId="28" fillId="33" borderId="13" xfId="0" applyNumberFormat="1" applyFont="1" applyFill="1" applyBorder="1" applyAlignment="1">
      <alignment horizontal="center" vertical="top" wrapText="1"/>
    </xf>
    <xf numFmtId="1" fontId="28" fillId="33" borderId="13" xfId="0" applyNumberFormat="1" applyFont="1" applyFill="1" applyBorder="1" applyAlignment="1">
      <alignment horizontal="center" vertical="top" wrapText="1"/>
    </xf>
    <xf numFmtId="168" fontId="28" fillId="33" borderId="13" xfId="0" applyNumberFormat="1" applyFont="1" applyFill="1" applyBorder="1" applyAlignment="1">
      <alignment horizontal="center" vertical="top" wrapText="1"/>
    </xf>
    <xf numFmtId="168" fontId="29" fillId="33" borderId="13" xfId="0" applyNumberFormat="1" applyFont="1" applyFill="1" applyBorder="1" applyAlignment="1">
      <alignment horizontal="center" vertical="top" wrapText="1"/>
    </xf>
    <xf numFmtId="1" fontId="29" fillId="33" borderId="13" xfId="0" applyNumberFormat="1" applyFont="1" applyFill="1" applyBorder="1" applyAlignment="1">
      <alignment horizontal="center" vertical="top" wrapText="1"/>
    </xf>
    <xf numFmtId="2" fontId="29" fillId="33" borderId="13" xfId="0" applyNumberFormat="1" applyFont="1" applyFill="1" applyBorder="1" applyAlignment="1">
      <alignment horizontal="center" vertical="top" wrapText="1"/>
    </xf>
    <xf numFmtId="165" fontId="29" fillId="33" borderId="13" xfId="0" applyNumberFormat="1" applyFont="1" applyFill="1" applyBorder="1" applyAlignment="1">
      <alignment horizontal="center" vertical="top" wrapText="1"/>
    </xf>
    <xf numFmtId="0" fontId="29" fillId="33" borderId="13" xfId="0" applyFont="1" applyFill="1" applyBorder="1" applyAlignment="1">
      <alignment horizontal="center" vertical="top" wrapText="1"/>
    </xf>
    <xf numFmtId="0" fontId="28" fillId="33" borderId="13" xfId="0" applyNumberFormat="1" applyFont="1" applyFill="1" applyBorder="1" applyAlignment="1">
      <alignment horizontal="center" vertical="top" wrapText="1"/>
    </xf>
    <xf numFmtId="166" fontId="29" fillId="33" borderId="13" xfId="0" applyNumberFormat="1" applyFont="1" applyFill="1" applyBorder="1" applyAlignment="1">
      <alignment horizontal="center" vertical="top" wrapText="1"/>
    </xf>
    <xf numFmtId="0" fontId="28" fillId="33" borderId="12" xfId="0" applyFont="1" applyFill="1" applyBorder="1" applyAlignment="1">
      <alignment horizontal="center" vertical="top" wrapText="1"/>
    </xf>
    <xf numFmtId="165" fontId="28" fillId="33" borderId="12" xfId="0" applyNumberFormat="1" applyFont="1" applyFill="1" applyBorder="1" applyAlignment="1">
      <alignment horizontal="center" vertical="top" wrapText="1"/>
    </xf>
    <xf numFmtId="49" fontId="28" fillId="33" borderId="12" xfId="0" applyNumberFormat="1" applyFont="1" applyFill="1" applyBorder="1" applyAlignment="1">
      <alignment horizontal="center" vertical="top" wrapText="1"/>
    </xf>
    <xf numFmtId="166" fontId="28" fillId="33" borderId="12" xfId="0" applyNumberFormat="1" applyFont="1" applyFill="1" applyBorder="1" applyAlignment="1">
      <alignment horizontal="center" vertical="top" wrapText="1"/>
    </xf>
    <xf numFmtId="2" fontId="28" fillId="33" borderId="12" xfId="0" applyNumberFormat="1" applyFont="1" applyFill="1" applyBorder="1" applyAlignment="1">
      <alignment horizontal="center" vertical="top" wrapText="1"/>
    </xf>
    <xf numFmtId="1" fontId="28" fillId="33" borderId="12" xfId="0" applyNumberFormat="1" applyFont="1" applyFill="1" applyBorder="1" applyAlignment="1">
      <alignment horizontal="center" vertical="top" wrapText="1"/>
    </xf>
    <xf numFmtId="2" fontId="1" fillId="33" borderId="16" xfId="0" applyNumberFormat="1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1329"/>
  <sheetViews>
    <sheetView tabSelected="1" zoomScale="90" zoomScaleNormal="90" zoomScalePageLayoutView="0" workbookViewId="0" topLeftCell="A1">
      <pane ySplit="2" topLeftCell="A3" activePane="bottomLeft" state="frozen"/>
      <selection pane="topLeft" activeCell="C1" sqref="C1"/>
      <selection pane="bottomLeft" activeCell="U130" sqref="U130"/>
    </sheetView>
  </sheetViews>
  <sheetFormatPr defaultColWidth="9.140625" defaultRowHeight="12.75"/>
  <cols>
    <col min="1" max="1" width="10.00390625" style="44" customWidth="1"/>
    <col min="2" max="2" width="10.140625" style="45" customWidth="1"/>
    <col min="3" max="3" width="8.7109375" style="46" customWidth="1"/>
    <col min="4" max="4" width="12.7109375" style="45" customWidth="1"/>
    <col min="5" max="5" width="10.00390625" style="45" customWidth="1"/>
    <col min="6" max="6" width="9.8515625" style="44" customWidth="1"/>
    <col min="7" max="7" width="11.421875" style="44" customWidth="1"/>
    <col min="8" max="8" width="7.421875" style="44" customWidth="1"/>
    <col min="9" max="9" width="8.28125" style="44" customWidth="1"/>
    <col min="10" max="10" width="9.8515625" style="47" customWidth="1"/>
    <col min="11" max="11" width="10.28125" style="34" customWidth="1"/>
    <col min="12" max="13" width="8.8515625" style="34" customWidth="1"/>
    <col min="14" max="14" width="8.57421875" style="34" customWidth="1"/>
    <col min="15" max="15" width="8.8515625" style="34" customWidth="1"/>
    <col min="16" max="16" width="16.421875" style="49" customWidth="1"/>
    <col min="17" max="17" width="9.140625" style="50" customWidth="1"/>
    <col min="18" max="16384" width="9.140625" style="34" customWidth="1"/>
  </cols>
  <sheetData>
    <row r="1" spans="1:61" s="10" customFormat="1" ht="23.25" customHeight="1" thickBot="1">
      <c r="A1" s="1" t="s">
        <v>237</v>
      </c>
      <c r="B1" s="2"/>
      <c r="C1" s="3"/>
      <c r="D1" s="2"/>
      <c r="E1" s="2"/>
      <c r="F1" s="1"/>
      <c r="G1" s="1"/>
      <c r="H1" s="1"/>
      <c r="I1" s="1"/>
      <c r="J1" s="4"/>
      <c r="K1" s="5"/>
      <c r="L1" s="5"/>
      <c r="M1" s="5"/>
      <c r="N1" s="5"/>
      <c r="O1" s="5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9"/>
    </row>
    <row r="2" spans="1:61" s="54" customFormat="1" ht="41.25" customHeight="1" thickBot="1">
      <c r="A2" s="75" t="s">
        <v>163</v>
      </c>
      <c r="B2" s="76" t="s">
        <v>1</v>
      </c>
      <c r="C2" s="76" t="s">
        <v>0</v>
      </c>
      <c r="D2" s="76" t="s">
        <v>2</v>
      </c>
      <c r="E2" s="77" t="s">
        <v>239</v>
      </c>
      <c r="F2" s="76" t="s">
        <v>3</v>
      </c>
      <c r="G2" s="76" t="s">
        <v>4</v>
      </c>
      <c r="H2" s="76" t="s">
        <v>5</v>
      </c>
      <c r="I2" s="76" t="s">
        <v>6</v>
      </c>
      <c r="J2" s="78" t="s">
        <v>240</v>
      </c>
      <c r="K2" s="78" t="s">
        <v>241</v>
      </c>
      <c r="L2" s="76" t="s">
        <v>164</v>
      </c>
      <c r="M2" s="76" t="s">
        <v>165</v>
      </c>
      <c r="N2" s="76" t="s">
        <v>236</v>
      </c>
      <c r="O2" s="76" t="s">
        <v>166</v>
      </c>
      <c r="P2" s="79" t="s">
        <v>7</v>
      </c>
      <c r="Q2" s="5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3"/>
    </row>
    <row r="3" spans="1:183" s="45" customFormat="1" ht="24.75" customHeight="1">
      <c r="A3" s="69" t="s">
        <v>8</v>
      </c>
      <c r="B3" s="70">
        <v>39.4892</v>
      </c>
      <c r="C3" s="70">
        <v>22.471</v>
      </c>
      <c r="D3" s="71" t="s">
        <v>9</v>
      </c>
      <c r="E3" s="69" t="s">
        <v>10</v>
      </c>
      <c r="F3" s="69" t="s">
        <v>11</v>
      </c>
      <c r="G3" s="69" t="s">
        <v>80</v>
      </c>
      <c r="H3" s="69">
        <v>3.98</v>
      </c>
      <c r="I3" s="69">
        <v>16.11</v>
      </c>
      <c r="J3" s="70">
        <v>0.149</v>
      </c>
      <c r="K3" s="72">
        <v>0.512745</v>
      </c>
      <c r="L3" s="72">
        <f>K3-J3*(EXP(0.00000000000654*782000000)-1)</f>
        <v>0.5119810203422693</v>
      </c>
      <c r="M3" s="73">
        <f>(L3/(0.512638-(0.1967*(EXP(0.00000000000654*782000000)-1)))-1)*10000</f>
        <v>6.871692823640085</v>
      </c>
      <c r="N3" s="74">
        <v>958</v>
      </c>
      <c r="O3" s="69">
        <v>700</v>
      </c>
      <c r="P3" s="69" t="s">
        <v>12</v>
      </c>
      <c r="Q3" s="14"/>
      <c r="R3" s="15"/>
      <c r="S3" s="16"/>
      <c r="T3" s="17"/>
      <c r="U3" s="11"/>
      <c r="V3" s="11"/>
      <c r="W3" s="13"/>
      <c r="X3" s="18"/>
      <c r="Y3" s="11"/>
      <c r="Z3" s="11"/>
      <c r="AA3" s="13"/>
      <c r="AB3" s="18"/>
      <c r="AC3" s="11"/>
      <c r="AD3" s="11"/>
      <c r="AE3" s="13"/>
      <c r="AF3" s="18"/>
      <c r="AG3" s="11"/>
      <c r="AH3" s="11"/>
      <c r="AI3" s="13"/>
      <c r="AJ3" s="18"/>
      <c r="AK3" s="11"/>
      <c r="AL3" s="11"/>
      <c r="AM3" s="13"/>
      <c r="AN3" s="18"/>
      <c r="AO3" s="11"/>
      <c r="AP3" s="11"/>
      <c r="AQ3" s="13"/>
      <c r="AR3" s="18"/>
      <c r="AS3" s="11"/>
      <c r="AT3" s="11"/>
      <c r="AU3" s="13"/>
      <c r="AV3" s="18"/>
      <c r="AW3" s="11"/>
      <c r="AX3" s="11"/>
      <c r="AY3" s="13"/>
      <c r="AZ3" s="18"/>
      <c r="BA3" s="11"/>
      <c r="BB3" s="11"/>
      <c r="BC3" s="13"/>
      <c r="BD3" s="18"/>
      <c r="BE3" s="11"/>
      <c r="BF3" s="11"/>
      <c r="BG3" s="13"/>
      <c r="BH3" s="18"/>
      <c r="BI3" s="11"/>
      <c r="BJ3" s="11"/>
      <c r="BK3" s="13"/>
      <c r="BL3" s="18"/>
      <c r="BM3" s="11"/>
      <c r="BN3" s="11"/>
      <c r="BO3" s="13"/>
      <c r="BP3" s="18"/>
      <c r="BQ3" s="11"/>
      <c r="BR3" s="11"/>
      <c r="BS3" s="13"/>
      <c r="BT3" s="18"/>
      <c r="BU3" s="11"/>
      <c r="BV3" s="11"/>
      <c r="BW3" s="13"/>
      <c r="BX3" s="18"/>
      <c r="BY3" s="11"/>
      <c r="BZ3" s="11"/>
      <c r="CA3" s="13"/>
      <c r="CB3" s="18"/>
      <c r="CC3" s="11"/>
      <c r="CD3" s="11"/>
      <c r="CE3" s="13"/>
      <c r="CF3" s="18"/>
      <c r="CG3" s="11"/>
      <c r="CH3" s="11"/>
      <c r="CI3" s="13"/>
      <c r="CJ3" s="18"/>
      <c r="CK3" s="11"/>
      <c r="CL3" s="11"/>
      <c r="CM3" s="13"/>
      <c r="CN3" s="18"/>
      <c r="CO3" s="11"/>
      <c r="CP3" s="11"/>
      <c r="CQ3" s="13"/>
      <c r="CR3" s="18"/>
      <c r="CS3" s="11"/>
      <c r="CT3" s="11"/>
      <c r="CU3" s="13"/>
      <c r="CV3" s="18"/>
      <c r="CW3" s="11"/>
      <c r="CX3" s="11"/>
      <c r="CY3" s="13"/>
      <c r="CZ3" s="18"/>
      <c r="DA3" s="11"/>
      <c r="DB3" s="11"/>
      <c r="DC3" s="13"/>
      <c r="DD3" s="18"/>
      <c r="DE3" s="11"/>
      <c r="DF3" s="11"/>
      <c r="DG3" s="13"/>
      <c r="DH3" s="18"/>
      <c r="DI3" s="11"/>
      <c r="DJ3" s="11"/>
      <c r="DK3" s="13"/>
      <c r="DL3" s="18"/>
      <c r="DM3" s="11"/>
      <c r="DN3" s="11"/>
      <c r="DO3" s="13"/>
      <c r="DP3" s="18"/>
      <c r="DQ3" s="11"/>
      <c r="DR3" s="11"/>
      <c r="DS3" s="13"/>
      <c r="DT3" s="18"/>
      <c r="DU3" s="11"/>
      <c r="DV3" s="11"/>
      <c r="DW3" s="13"/>
      <c r="DX3" s="18"/>
      <c r="DY3" s="11"/>
      <c r="DZ3" s="11"/>
      <c r="EA3" s="13"/>
      <c r="EB3" s="18"/>
      <c r="EC3" s="11"/>
      <c r="ED3" s="11"/>
      <c r="EE3" s="13"/>
      <c r="EF3" s="18"/>
      <c r="EG3" s="11"/>
      <c r="EH3" s="11"/>
      <c r="EI3" s="13"/>
      <c r="EJ3" s="18"/>
      <c r="EK3" s="11"/>
      <c r="EL3" s="11"/>
      <c r="EM3" s="13"/>
      <c r="EN3" s="18"/>
      <c r="EO3" s="11"/>
      <c r="EP3" s="11"/>
      <c r="EQ3" s="13"/>
      <c r="ER3" s="18"/>
      <c r="ES3" s="11"/>
      <c r="ET3" s="11"/>
      <c r="EU3" s="13"/>
      <c r="EV3" s="18"/>
      <c r="EW3" s="11"/>
      <c r="EX3" s="11"/>
      <c r="EY3" s="13"/>
      <c r="EZ3" s="18"/>
      <c r="FA3" s="11"/>
      <c r="FB3" s="11"/>
      <c r="FC3" s="13"/>
      <c r="FD3" s="18"/>
      <c r="FE3" s="11"/>
      <c r="FF3" s="11"/>
      <c r="FG3" s="13"/>
      <c r="FH3" s="18"/>
      <c r="FI3" s="11"/>
      <c r="FJ3" s="11"/>
      <c r="FK3" s="13"/>
      <c r="FL3" s="18"/>
      <c r="FM3" s="11"/>
      <c r="FN3" s="11"/>
      <c r="FO3" s="13"/>
      <c r="FP3" s="18"/>
      <c r="FQ3" s="11"/>
      <c r="FR3" s="11"/>
      <c r="FS3" s="13"/>
      <c r="FT3" s="18"/>
      <c r="FU3" s="11"/>
      <c r="FV3" s="11"/>
      <c r="FW3" s="13"/>
      <c r="FX3" s="18"/>
      <c r="FY3" s="11"/>
      <c r="FZ3" s="11"/>
      <c r="GA3" s="13"/>
    </row>
    <row r="4" spans="1:183" s="45" customFormat="1" ht="24.75" customHeight="1">
      <c r="A4" s="55" t="s">
        <v>13</v>
      </c>
      <c r="B4" s="56">
        <v>39.5598</v>
      </c>
      <c r="C4" s="56">
        <v>22.4158</v>
      </c>
      <c r="D4" s="57" t="s">
        <v>14</v>
      </c>
      <c r="E4" s="55" t="s">
        <v>15</v>
      </c>
      <c r="F4" s="55" t="s">
        <v>11</v>
      </c>
      <c r="G4" s="55" t="s">
        <v>80</v>
      </c>
      <c r="H4" s="55">
        <v>1.65</v>
      </c>
      <c r="I4" s="55">
        <v>5.34</v>
      </c>
      <c r="J4" s="56">
        <v>0.187</v>
      </c>
      <c r="K4" s="58">
        <v>0.512827</v>
      </c>
      <c r="L4" s="58">
        <f>K4-J4*(EXP(0.00000000000654*777000000)-1)</f>
        <v>0.5118743260455743</v>
      </c>
      <c r="M4" s="59">
        <f>(L4/(0.512638-(0.1967*(EXP(0.00000000000654*777000000)-1)))-1)*10000</f>
        <v>4.659891399259042</v>
      </c>
      <c r="N4" s="60"/>
      <c r="O4" s="57"/>
      <c r="P4" s="55" t="s">
        <v>12</v>
      </c>
      <c r="Q4" s="14"/>
      <c r="R4" s="11"/>
      <c r="S4" s="13"/>
      <c r="T4" s="17"/>
      <c r="U4" s="11"/>
      <c r="V4" s="11"/>
      <c r="W4" s="13"/>
      <c r="X4" s="18"/>
      <c r="Y4" s="11"/>
      <c r="Z4" s="11"/>
      <c r="AA4" s="13"/>
      <c r="AB4" s="18"/>
      <c r="AC4" s="11"/>
      <c r="AD4" s="11"/>
      <c r="AE4" s="13"/>
      <c r="AF4" s="18"/>
      <c r="AG4" s="11"/>
      <c r="AH4" s="11"/>
      <c r="AI4" s="13"/>
      <c r="AJ4" s="18"/>
      <c r="AK4" s="11"/>
      <c r="AL4" s="11"/>
      <c r="AM4" s="13"/>
      <c r="AN4" s="18"/>
      <c r="AO4" s="11"/>
      <c r="AP4" s="11"/>
      <c r="AQ4" s="13"/>
      <c r="AR4" s="18"/>
      <c r="AS4" s="11"/>
      <c r="AT4" s="11"/>
      <c r="AU4" s="13"/>
      <c r="AV4" s="18"/>
      <c r="AW4" s="11"/>
      <c r="AX4" s="11"/>
      <c r="AY4" s="13"/>
      <c r="AZ4" s="18"/>
      <c r="BA4" s="11"/>
      <c r="BB4" s="11"/>
      <c r="BC4" s="13"/>
      <c r="BD4" s="18"/>
      <c r="BE4" s="11"/>
      <c r="BF4" s="11"/>
      <c r="BG4" s="13"/>
      <c r="BH4" s="18"/>
      <c r="BI4" s="11"/>
      <c r="BJ4" s="11"/>
      <c r="BK4" s="13"/>
      <c r="BL4" s="18"/>
      <c r="BM4" s="11"/>
      <c r="BN4" s="11"/>
      <c r="BO4" s="13"/>
      <c r="BP4" s="18"/>
      <c r="BQ4" s="11"/>
      <c r="BR4" s="11"/>
      <c r="BS4" s="13"/>
      <c r="BT4" s="18"/>
      <c r="BU4" s="11"/>
      <c r="BV4" s="11"/>
      <c r="BW4" s="13"/>
      <c r="BX4" s="18"/>
      <c r="BY4" s="11"/>
      <c r="BZ4" s="11"/>
      <c r="CA4" s="13"/>
      <c r="CB4" s="18"/>
      <c r="CC4" s="11"/>
      <c r="CD4" s="11"/>
      <c r="CE4" s="13"/>
      <c r="CF4" s="18"/>
      <c r="CG4" s="11"/>
      <c r="CH4" s="11"/>
      <c r="CI4" s="13"/>
      <c r="CJ4" s="18"/>
      <c r="CK4" s="11"/>
      <c r="CL4" s="11"/>
      <c r="CM4" s="13"/>
      <c r="CN4" s="18"/>
      <c r="CO4" s="11"/>
      <c r="CP4" s="11"/>
      <c r="CQ4" s="13"/>
      <c r="CR4" s="18"/>
      <c r="CS4" s="11"/>
      <c r="CT4" s="11"/>
      <c r="CU4" s="13"/>
      <c r="CV4" s="18"/>
      <c r="CW4" s="11"/>
      <c r="CX4" s="11"/>
      <c r="CY4" s="13"/>
      <c r="CZ4" s="18"/>
      <c r="DA4" s="11"/>
      <c r="DB4" s="11"/>
      <c r="DC4" s="13"/>
      <c r="DD4" s="18"/>
      <c r="DE4" s="11"/>
      <c r="DF4" s="11"/>
      <c r="DG4" s="13"/>
      <c r="DH4" s="18"/>
      <c r="DI4" s="11"/>
      <c r="DJ4" s="11"/>
      <c r="DK4" s="13"/>
      <c r="DL4" s="18"/>
      <c r="DM4" s="11"/>
      <c r="DN4" s="11"/>
      <c r="DO4" s="13"/>
      <c r="DP4" s="18"/>
      <c r="DQ4" s="11"/>
      <c r="DR4" s="11"/>
      <c r="DS4" s="13"/>
      <c r="DT4" s="18"/>
      <c r="DU4" s="11"/>
      <c r="DV4" s="11"/>
      <c r="DW4" s="13"/>
      <c r="DX4" s="18"/>
      <c r="DY4" s="11"/>
      <c r="DZ4" s="11"/>
      <c r="EA4" s="13"/>
      <c r="EB4" s="18"/>
      <c r="EC4" s="11"/>
      <c r="ED4" s="11"/>
      <c r="EE4" s="13"/>
      <c r="EF4" s="18"/>
      <c r="EG4" s="11"/>
      <c r="EH4" s="11"/>
      <c r="EI4" s="13"/>
      <c r="EJ4" s="18"/>
      <c r="EK4" s="11"/>
      <c r="EL4" s="11"/>
      <c r="EM4" s="13"/>
      <c r="EN4" s="18"/>
      <c r="EO4" s="11"/>
      <c r="EP4" s="11"/>
      <c r="EQ4" s="13"/>
      <c r="ER4" s="18"/>
      <c r="ES4" s="11"/>
      <c r="ET4" s="11"/>
      <c r="EU4" s="13"/>
      <c r="EV4" s="18"/>
      <c r="EW4" s="11"/>
      <c r="EX4" s="11"/>
      <c r="EY4" s="13"/>
      <c r="EZ4" s="18"/>
      <c r="FA4" s="11"/>
      <c r="FB4" s="11"/>
      <c r="FC4" s="13"/>
      <c r="FD4" s="18"/>
      <c r="FE4" s="11"/>
      <c r="FF4" s="11"/>
      <c r="FG4" s="13"/>
      <c r="FH4" s="18"/>
      <c r="FI4" s="11"/>
      <c r="FJ4" s="11"/>
      <c r="FK4" s="13"/>
      <c r="FL4" s="18"/>
      <c r="FM4" s="11"/>
      <c r="FN4" s="11"/>
      <c r="FO4" s="13"/>
      <c r="FP4" s="18"/>
      <c r="FQ4" s="11"/>
      <c r="FR4" s="11"/>
      <c r="FS4" s="13"/>
      <c r="FT4" s="18"/>
      <c r="FU4" s="11"/>
      <c r="FV4" s="11"/>
      <c r="FW4" s="13"/>
      <c r="FX4" s="18"/>
      <c r="FY4" s="11"/>
      <c r="FZ4" s="11"/>
      <c r="GA4" s="13"/>
    </row>
    <row r="5" spans="1:183" s="45" customFormat="1" ht="24.75" customHeight="1">
      <c r="A5" s="55" t="s">
        <v>16</v>
      </c>
      <c r="B5" s="56">
        <v>39.6672</v>
      </c>
      <c r="C5" s="56">
        <v>22.3014</v>
      </c>
      <c r="D5" s="57" t="s">
        <v>17</v>
      </c>
      <c r="E5" s="55" t="s">
        <v>18</v>
      </c>
      <c r="F5" s="55" t="s">
        <v>11</v>
      </c>
      <c r="G5" s="55" t="s">
        <v>80</v>
      </c>
      <c r="H5" s="55">
        <v>1.59</v>
      </c>
      <c r="I5" s="55">
        <v>10.32</v>
      </c>
      <c r="J5" s="56">
        <v>0.093</v>
      </c>
      <c r="K5" s="58">
        <v>0.512485</v>
      </c>
      <c r="L5" s="58">
        <f>K5-J5*(EXP(0.00000000000654*700000000)-1)</f>
        <v>0.5120582699602256</v>
      </c>
      <c r="M5" s="59">
        <f>(L5/(0.512638-(0.1967*(EXP(0.00000000000654*700000000)-1)))-1)*10000</f>
        <v>6.308473279008631</v>
      </c>
      <c r="N5" s="60">
        <v>842</v>
      </c>
      <c r="O5" s="55">
        <v>700</v>
      </c>
      <c r="P5" s="55" t="s">
        <v>12</v>
      </c>
      <c r="Q5" s="14"/>
      <c r="R5" s="15"/>
      <c r="S5" s="16"/>
      <c r="T5" s="17"/>
      <c r="U5" s="11"/>
      <c r="V5" s="11"/>
      <c r="W5" s="13"/>
      <c r="X5" s="18"/>
      <c r="Y5" s="11"/>
      <c r="Z5" s="11"/>
      <c r="AA5" s="13"/>
      <c r="AB5" s="18"/>
      <c r="AC5" s="11"/>
      <c r="AD5" s="11"/>
      <c r="AE5" s="13"/>
      <c r="AF5" s="18"/>
      <c r="AG5" s="11"/>
      <c r="AH5" s="11"/>
      <c r="AI5" s="13"/>
      <c r="AJ5" s="18"/>
      <c r="AK5" s="11"/>
      <c r="AL5" s="11"/>
      <c r="AM5" s="13"/>
      <c r="AN5" s="18"/>
      <c r="AO5" s="11"/>
      <c r="AP5" s="11"/>
      <c r="AQ5" s="13"/>
      <c r="AR5" s="18"/>
      <c r="AS5" s="11"/>
      <c r="AT5" s="11"/>
      <c r="AU5" s="13"/>
      <c r="AV5" s="18"/>
      <c r="AW5" s="11"/>
      <c r="AX5" s="11"/>
      <c r="AY5" s="13"/>
      <c r="AZ5" s="18"/>
      <c r="BA5" s="11"/>
      <c r="BB5" s="11"/>
      <c r="BC5" s="13"/>
      <c r="BD5" s="18"/>
      <c r="BE5" s="11"/>
      <c r="BF5" s="11"/>
      <c r="BG5" s="13"/>
      <c r="BH5" s="18"/>
      <c r="BI5" s="11"/>
      <c r="BJ5" s="11"/>
      <c r="BK5" s="13"/>
      <c r="BL5" s="18"/>
      <c r="BM5" s="11"/>
      <c r="BN5" s="11"/>
      <c r="BO5" s="13"/>
      <c r="BP5" s="18"/>
      <c r="BQ5" s="11"/>
      <c r="BR5" s="11"/>
      <c r="BS5" s="13"/>
      <c r="BT5" s="18"/>
      <c r="BU5" s="11"/>
      <c r="BV5" s="11"/>
      <c r="BW5" s="13"/>
      <c r="BX5" s="18"/>
      <c r="BY5" s="11"/>
      <c r="BZ5" s="11"/>
      <c r="CA5" s="13"/>
      <c r="CB5" s="18"/>
      <c r="CC5" s="11"/>
      <c r="CD5" s="11"/>
      <c r="CE5" s="13"/>
      <c r="CF5" s="18"/>
      <c r="CG5" s="11"/>
      <c r="CH5" s="11"/>
      <c r="CI5" s="13"/>
      <c r="CJ5" s="18"/>
      <c r="CK5" s="11"/>
      <c r="CL5" s="11"/>
      <c r="CM5" s="13"/>
      <c r="CN5" s="18"/>
      <c r="CO5" s="11"/>
      <c r="CP5" s="11"/>
      <c r="CQ5" s="13"/>
      <c r="CR5" s="18"/>
      <c r="CS5" s="11"/>
      <c r="CT5" s="11"/>
      <c r="CU5" s="13"/>
      <c r="CV5" s="18"/>
      <c r="CW5" s="11"/>
      <c r="CX5" s="11"/>
      <c r="CY5" s="13"/>
      <c r="CZ5" s="18"/>
      <c r="DA5" s="11"/>
      <c r="DB5" s="11"/>
      <c r="DC5" s="13"/>
      <c r="DD5" s="18"/>
      <c r="DE5" s="11"/>
      <c r="DF5" s="11"/>
      <c r="DG5" s="13"/>
      <c r="DH5" s="18"/>
      <c r="DI5" s="11"/>
      <c r="DJ5" s="11"/>
      <c r="DK5" s="13"/>
      <c r="DL5" s="18"/>
      <c r="DM5" s="11"/>
      <c r="DN5" s="11"/>
      <c r="DO5" s="13"/>
      <c r="DP5" s="18"/>
      <c r="DQ5" s="11"/>
      <c r="DR5" s="11"/>
      <c r="DS5" s="13"/>
      <c r="DT5" s="18"/>
      <c r="DU5" s="11"/>
      <c r="DV5" s="11"/>
      <c r="DW5" s="13"/>
      <c r="DX5" s="18"/>
      <c r="DY5" s="11"/>
      <c r="DZ5" s="11"/>
      <c r="EA5" s="13"/>
      <c r="EB5" s="18"/>
      <c r="EC5" s="11"/>
      <c r="ED5" s="11"/>
      <c r="EE5" s="13"/>
      <c r="EF5" s="18"/>
      <c r="EG5" s="11"/>
      <c r="EH5" s="11"/>
      <c r="EI5" s="13"/>
      <c r="EJ5" s="18"/>
      <c r="EK5" s="11"/>
      <c r="EL5" s="11"/>
      <c r="EM5" s="13"/>
      <c r="EN5" s="18"/>
      <c r="EO5" s="11"/>
      <c r="EP5" s="11"/>
      <c r="EQ5" s="13"/>
      <c r="ER5" s="18"/>
      <c r="ES5" s="11"/>
      <c r="ET5" s="11"/>
      <c r="EU5" s="13"/>
      <c r="EV5" s="18"/>
      <c r="EW5" s="11"/>
      <c r="EX5" s="11"/>
      <c r="EY5" s="13"/>
      <c r="EZ5" s="18"/>
      <c r="FA5" s="11"/>
      <c r="FB5" s="11"/>
      <c r="FC5" s="13"/>
      <c r="FD5" s="18"/>
      <c r="FE5" s="11"/>
      <c r="FF5" s="11"/>
      <c r="FG5" s="13"/>
      <c r="FH5" s="18"/>
      <c r="FI5" s="11"/>
      <c r="FJ5" s="11"/>
      <c r="FK5" s="13"/>
      <c r="FL5" s="18"/>
      <c r="FM5" s="11"/>
      <c r="FN5" s="11"/>
      <c r="FO5" s="13"/>
      <c r="FP5" s="18"/>
      <c r="FQ5" s="11"/>
      <c r="FR5" s="11"/>
      <c r="FS5" s="13"/>
      <c r="FT5" s="18"/>
      <c r="FU5" s="11"/>
      <c r="FV5" s="11"/>
      <c r="FW5" s="13"/>
      <c r="FX5" s="18"/>
      <c r="FY5" s="11"/>
      <c r="FZ5" s="11"/>
      <c r="GA5" s="13"/>
    </row>
    <row r="6" spans="1:183" s="45" customFormat="1" ht="24.75" customHeight="1">
      <c r="A6" s="55" t="s">
        <v>19</v>
      </c>
      <c r="B6" s="56">
        <v>39.7374</v>
      </c>
      <c r="C6" s="56">
        <v>22.3766</v>
      </c>
      <c r="D6" s="57" t="s">
        <v>20</v>
      </c>
      <c r="E6" s="55" t="s">
        <v>21</v>
      </c>
      <c r="F6" s="55" t="s">
        <v>11</v>
      </c>
      <c r="G6" s="55" t="s">
        <v>80</v>
      </c>
      <c r="H6" s="55">
        <v>2.65</v>
      </c>
      <c r="I6" s="55">
        <v>13.39</v>
      </c>
      <c r="J6" s="56">
        <v>0.12</v>
      </c>
      <c r="K6" s="58">
        <v>0.51256</v>
      </c>
      <c r="L6" s="58">
        <f>K6-J6*(EXP(0.00000000000654*753000000)-1)</f>
        <v>0.5119675880955016</v>
      </c>
      <c r="M6" s="59">
        <f>(L6/(0.512638-(0.1967*(EXP(0.00000000000654*753000000)-1)))-1)*10000</f>
        <v>5.875891519921961</v>
      </c>
      <c r="N6" s="60">
        <v>962</v>
      </c>
      <c r="O6" s="55">
        <v>770</v>
      </c>
      <c r="P6" s="55" t="s">
        <v>12</v>
      </c>
      <c r="Q6" s="14"/>
      <c r="R6" s="15"/>
      <c r="S6" s="16"/>
      <c r="T6" s="17"/>
      <c r="U6" s="11"/>
      <c r="V6" s="11"/>
      <c r="W6" s="13"/>
      <c r="X6" s="18"/>
      <c r="Y6" s="11"/>
      <c r="Z6" s="11"/>
      <c r="AA6" s="13"/>
      <c r="AB6" s="18"/>
      <c r="AC6" s="11"/>
      <c r="AD6" s="11"/>
      <c r="AE6" s="13"/>
      <c r="AF6" s="18"/>
      <c r="AG6" s="11"/>
      <c r="AH6" s="11"/>
      <c r="AI6" s="13"/>
      <c r="AJ6" s="18"/>
      <c r="AK6" s="11"/>
      <c r="AL6" s="11"/>
      <c r="AM6" s="13"/>
      <c r="AN6" s="18"/>
      <c r="AO6" s="11"/>
      <c r="AP6" s="11"/>
      <c r="AQ6" s="13"/>
      <c r="AR6" s="18"/>
      <c r="AS6" s="11"/>
      <c r="AT6" s="11"/>
      <c r="AU6" s="13"/>
      <c r="AV6" s="18"/>
      <c r="AW6" s="11"/>
      <c r="AX6" s="11"/>
      <c r="AY6" s="13"/>
      <c r="AZ6" s="18"/>
      <c r="BA6" s="11"/>
      <c r="BB6" s="11"/>
      <c r="BC6" s="13"/>
      <c r="BD6" s="18"/>
      <c r="BE6" s="11"/>
      <c r="BF6" s="11"/>
      <c r="BG6" s="13"/>
      <c r="BH6" s="18"/>
      <c r="BI6" s="11"/>
      <c r="BJ6" s="11"/>
      <c r="BK6" s="13"/>
      <c r="BL6" s="18"/>
      <c r="BM6" s="11"/>
      <c r="BN6" s="11"/>
      <c r="BO6" s="13"/>
      <c r="BP6" s="18"/>
      <c r="BQ6" s="11"/>
      <c r="BR6" s="11"/>
      <c r="BS6" s="13"/>
      <c r="BT6" s="18"/>
      <c r="BU6" s="11"/>
      <c r="BV6" s="11"/>
      <c r="BW6" s="13"/>
      <c r="BX6" s="18"/>
      <c r="BY6" s="11"/>
      <c r="BZ6" s="11"/>
      <c r="CA6" s="13"/>
      <c r="CB6" s="18"/>
      <c r="CC6" s="11"/>
      <c r="CD6" s="11"/>
      <c r="CE6" s="13"/>
      <c r="CF6" s="18"/>
      <c r="CG6" s="11"/>
      <c r="CH6" s="11"/>
      <c r="CI6" s="13"/>
      <c r="CJ6" s="18"/>
      <c r="CK6" s="11"/>
      <c r="CL6" s="11"/>
      <c r="CM6" s="13"/>
      <c r="CN6" s="18"/>
      <c r="CO6" s="11"/>
      <c r="CP6" s="11"/>
      <c r="CQ6" s="13"/>
      <c r="CR6" s="18"/>
      <c r="CS6" s="11"/>
      <c r="CT6" s="11"/>
      <c r="CU6" s="13"/>
      <c r="CV6" s="18"/>
      <c r="CW6" s="11"/>
      <c r="CX6" s="11"/>
      <c r="CY6" s="13"/>
      <c r="CZ6" s="18"/>
      <c r="DA6" s="11"/>
      <c r="DB6" s="11"/>
      <c r="DC6" s="13"/>
      <c r="DD6" s="18"/>
      <c r="DE6" s="11"/>
      <c r="DF6" s="11"/>
      <c r="DG6" s="13"/>
      <c r="DH6" s="18"/>
      <c r="DI6" s="11"/>
      <c r="DJ6" s="11"/>
      <c r="DK6" s="13"/>
      <c r="DL6" s="18"/>
      <c r="DM6" s="11"/>
      <c r="DN6" s="11"/>
      <c r="DO6" s="13"/>
      <c r="DP6" s="18"/>
      <c r="DQ6" s="11"/>
      <c r="DR6" s="11"/>
      <c r="DS6" s="13"/>
      <c r="DT6" s="18"/>
      <c r="DU6" s="11"/>
      <c r="DV6" s="11"/>
      <c r="DW6" s="13"/>
      <c r="DX6" s="18"/>
      <c r="DY6" s="11"/>
      <c r="DZ6" s="11"/>
      <c r="EA6" s="13"/>
      <c r="EB6" s="18"/>
      <c r="EC6" s="11"/>
      <c r="ED6" s="11"/>
      <c r="EE6" s="13"/>
      <c r="EF6" s="18"/>
      <c r="EG6" s="11"/>
      <c r="EH6" s="11"/>
      <c r="EI6" s="13"/>
      <c r="EJ6" s="18"/>
      <c r="EK6" s="11"/>
      <c r="EL6" s="11"/>
      <c r="EM6" s="13"/>
      <c r="EN6" s="18"/>
      <c r="EO6" s="11"/>
      <c r="EP6" s="11"/>
      <c r="EQ6" s="13"/>
      <c r="ER6" s="18"/>
      <c r="ES6" s="11"/>
      <c r="ET6" s="11"/>
      <c r="EU6" s="13"/>
      <c r="EV6" s="18"/>
      <c r="EW6" s="11"/>
      <c r="EX6" s="11"/>
      <c r="EY6" s="13"/>
      <c r="EZ6" s="18"/>
      <c r="FA6" s="11"/>
      <c r="FB6" s="11"/>
      <c r="FC6" s="13"/>
      <c r="FD6" s="18"/>
      <c r="FE6" s="11"/>
      <c r="FF6" s="11"/>
      <c r="FG6" s="13"/>
      <c r="FH6" s="18"/>
      <c r="FI6" s="11"/>
      <c r="FJ6" s="11"/>
      <c r="FK6" s="13"/>
      <c r="FL6" s="18"/>
      <c r="FM6" s="11"/>
      <c r="FN6" s="11"/>
      <c r="FO6" s="13"/>
      <c r="FP6" s="18"/>
      <c r="FQ6" s="11"/>
      <c r="FR6" s="11"/>
      <c r="FS6" s="13"/>
      <c r="FT6" s="18"/>
      <c r="FU6" s="11"/>
      <c r="FV6" s="11"/>
      <c r="FW6" s="13"/>
      <c r="FX6" s="18"/>
      <c r="FY6" s="11"/>
      <c r="FZ6" s="11"/>
      <c r="GA6" s="13"/>
    </row>
    <row r="7" spans="1:183" s="45" customFormat="1" ht="24.75" customHeight="1">
      <c r="A7" s="55" t="s">
        <v>22</v>
      </c>
      <c r="B7" s="56">
        <v>39.7615</v>
      </c>
      <c r="C7" s="56">
        <v>22.3183</v>
      </c>
      <c r="D7" s="57" t="s">
        <v>23</v>
      </c>
      <c r="E7" s="55" t="s">
        <v>24</v>
      </c>
      <c r="F7" s="55" t="s">
        <v>11</v>
      </c>
      <c r="G7" s="55" t="s">
        <v>80</v>
      </c>
      <c r="H7" s="55">
        <v>4.04</v>
      </c>
      <c r="I7" s="55">
        <v>20.08</v>
      </c>
      <c r="J7" s="56">
        <v>0.117</v>
      </c>
      <c r="K7" s="58">
        <v>0.512568</v>
      </c>
      <c r="L7" s="58">
        <f>K7-J7*(EXP(0.00000000000654*752000000)-1)</f>
        <v>0.5119911673481141</v>
      </c>
      <c r="M7" s="59">
        <f>(L7/(0.512638-(0.1967*(EXP(0.00000000000654*752000000)-1)))-1)*10000</f>
        <v>6.3114418850673815</v>
      </c>
      <c r="N7" s="60">
        <v>920</v>
      </c>
      <c r="O7" s="55">
        <v>740</v>
      </c>
      <c r="P7" s="55" t="s">
        <v>12</v>
      </c>
      <c r="Q7" s="14"/>
      <c r="R7" s="15"/>
      <c r="S7" s="16"/>
      <c r="T7" s="17"/>
      <c r="U7" s="11"/>
      <c r="V7" s="11"/>
      <c r="W7" s="13"/>
      <c r="X7" s="18"/>
      <c r="Y7" s="11"/>
      <c r="Z7" s="11"/>
      <c r="AA7" s="13"/>
      <c r="AB7" s="18"/>
      <c r="AC7" s="11"/>
      <c r="AD7" s="11"/>
      <c r="AE7" s="13"/>
      <c r="AF7" s="18"/>
      <c r="AG7" s="11"/>
      <c r="AH7" s="11"/>
      <c r="AI7" s="13"/>
      <c r="AJ7" s="18"/>
      <c r="AK7" s="11"/>
      <c r="AL7" s="11"/>
      <c r="AM7" s="13"/>
      <c r="AN7" s="18"/>
      <c r="AO7" s="11"/>
      <c r="AP7" s="11"/>
      <c r="AQ7" s="13"/>
      <c r="AR7" s="18"/>
      <c r="AS7" s="11"/>
      <c r="AT7" s="11"/>
      <c r="AU7" s="13"/>
      <c r="AV7" s="18"/>
      <c r="AW7" s="11"/>
      <c r="AX7" s="11"/>
      <c r="AY7" s="13"/>
      <c r="AZ7" s="18"/>
      <c r="BA7" s="11"/>
      <c r="BB7" s="11"/>
      <c r="BC7" s="13"/>
      <c r="BD7" s="18"/>
      <c r="BE7" s="11"/>
      <c r="BF7" s="11"/>
      <c r="BG7" s="13"/>
      <c r="BH7" s="18"/>
      <c r="BI7" s="11"/>
      <c r="BJ7" s="11"/>
      <c r="BK7" s="13"/>
      <c r="BL7" s="18"/>
      <c r="BM7" s="11"/>
      <c r="BN7" s="11"/>
      <c r="BO7" s="13"/>
      <c r="BP7" s="18"/>
      <c r="BQ7" s="11"/>
      <c r="BR7" s="11"/>
      <c r="BS7" s="13"/>
      <c r="BT7" s="18"/>
      <c r="BU7" s="11"/>
      <c r="BV7" s="11"/>
      <c r="BW7" s="13"/>
      <c r="BX7" s="18"/>
      <c r="BY7" s="11"/>
      <c r="BZ7" s="11"/>
      <c r="CA7" s="13"/>
      <c r="CB7" s="18"/>
      <c r="CC7" s="11"/>
      <c r="CD7" s="11"/>
      <c r="CE7" s="13"/>
      <c r="CF7" s="18"/>
      <c r="CG7" s="11"/>
      <c r="CH7" s="11"/>
      <c r="CI7" s="13"/>
      <c r="CJ7" s="18"/>
      <c r="CK7" s="11"/>
      <c r="CL7" s="11"/>
      <c r="CM7" s="13"/>
      <c r="CN7" s="18"/>
      <c r="CO7" s="11"/>
      <c r="CP7" s="11"/>
      <c r="CQ7" s="13"/>
      <c r="CR7" s="18"/>
      <c r="CS7" s="11"/>
      <c r="CT7" s="11"/>
      <c r="CU7" s="13"/>
      <c r="CV7" s="18"/>
      <c r="CW7" s="11"/>
      <c r="CX7" s="11"/>
      <c r="CY7" s="13"/>
      <c r="CZ7" s="18"/>
      <c r="DA7" s="11"/>
      <c r="DB7" s="11"/>
      <c r="DC7" s="13"/>
      <c r="DD7" s="18"/>
      <c r="DE7" s="11"/>
      <c r="DF7" s="11"/>
      <c r="DG7" s="13"/>
      <c r="DH7" s="18"/>
      <c r="DI7" s="11"/>
      <c r="DJ7" s="11"/>
      <c r="DK7" s="13"/>
      <c r="DL7" s="18"/>
      <c r="DM7" s="11"/>
      <c r="DN7" s="11"/>
      <c r="DO7" s="13"/>
      <c r="DP7" s="18"/>
      <c r="DQ7" s="11"/>
      <c r="DR7" s="11"/>
      <c r="DS7" s="13"/>
      <c r="DT7" s="18"/>
      <c r="DU7" s="11"/>
      <c r="DV7" s="11"/>
      <c r="DW7" s="13"/>
      <c r="DX7" s="18"/>
      <c r="DY7" s="11"/>
      <c r="DZ7" s="11"/>
      <c r="EA7" s="13"/>
      <c r="EB7" s="18"/>
      <c r="EC7" s="11"/>
      <c r="ED7" s="11"/>
      <c r="EE7" s="13"/>
      <c r="EF7" s="18"/>
      <c r="EG7" s="11"/>
      <c r="EH7" s="11"/>
      <c r="EI7" s="13"/>
      <c r="EJ7" s="18"/>
      <c r="EK7" s="11"/>
      <c r="EL7" s="11"/>
      <c r="EM7" s="13"/>
      <c r="EN7" s="18"/>
      <c r="EO7" s="11"/>
      <c r="EP7" s="11"/>
      <c r="EQ7" s="13"/>
      <c r="ER7" s="18"/>
      <c r="ES7" s="11"/>
      <c r="ET7" s="11"/>
      <c r="EU7" s="13"/>
      <c r="EV7" s="18"/>
      <c r="EW7" s="11"/>
      <c r="EX7" s="11"/>
      <c r="EY7" s="13"/>
      <c r="EZ7" s="18"/>
      <c r="FA7" s="11"/>
      <c r="FB7" s="11"/>
      <c r="FC7" s="13"/>
      <c r="FD7" s="18"/>
      <c r="FE7" s="11"/>
      <c r="FF7" s="11"/>
      <c r="FG7" s="13"/>
      <c r="FH7" s="18"/>
      <c r="FI7" s="11"/>
      <c r="FJ7" s="11"/>
      <c r="FK7" s="13"/>
      <c r="FL7" s="18"/>
      <c r="FM7" s="11"/>
      <c r="FN7" s="11"/>
      <c r="FO7" s="13"/>
      <c r="FP7" s="18"/>
      <c r="FQ7" s="11"/>
      <c r="FR7" s="11"/>
      <c r="FS7" s="13"/>
      <c r="FT7" s="18"/>
      <c r="FU7" s="11"/>
      <c r="FV7" s="11"/>
      <c r="FW7" s="13"/>
      <c r="FX7" s="18"/>
      <c r="FY7" s="11"/>
      <c r="FZ7" s="11"/>
      <c r="GA7" s="13"/>
    </row>
    <row r="8" spans="1:183" s="45" customFormat="1" ht="24.75" customHeight="1">
      <c r="A8" s="55" t="s">
        <v>25</v>
      </c>
      <c r="B8" s="56">
        <v>39.7939</v>
      </c>
      <c r="C8" s="56">
        <v>22.2775</v>
      </c>
      <c r="D8" s="57" t="s">
        <v>26</v>
      </c>
      <c r="E8" s="55" t="s">
        <v>27</v>
      </c>
      <c r="F8" s="55" t="s">
        <v>11</v>
      </c>
      <c r="G8" s="55" t="s">
        <v>80</v>
      </c>
      <c r="H8" s="55">
        <v>3.42</v>
      </c>
      <c r="I8" s="55">
        <v>17.92</v>
      </c>
      <c r="J8" s="56">
        <v>0.115</v>
      </c>
      <c r="K8" s="58">
        <v>0.51261</v>
      </c>
      <c r="L8" s="58">
        <f>K8-J8*(EXP(0.00000000000654*699000000)-1)</f>
        <v>0.5120830786176328</v>
      </c>
      <c r="M8" s="59">
        <f>(L8/(0.512638-(0.1967*(EXP(0.00000000000654*699000000)-1)))-1)*10000</f>
        <v>6.767997171512885</v>
      </c>
      <c r="N8" s="60">
        <v>837</v>
      </c>
      <c r="O8" s="55">
        <v>670</v>
      </c>
      <c r="P8" s="55" t="s">
        <v>12</v>
      </c>
      <c r="Q8" s="14"/>
      <c r="R8" s="15"/>
      <c r="S8" s="16"/>
      <c r="T8" s="17"/>
      <c r="U8" s="11"/>
      <c r="V8" s="11"/>
      <c r="W8" s="13"/>
      <c r="X8" s="18"/>
      <c r="Y8" s="11"/>
      <c r="Z8" s="11"/>
      <c r="AA8" s="13"/>
      <c r="AB8" s="18"/>
      <c r="AC8" s="11"/>
      <c r="AD8" s="11"/>
      <c r="AE8" s="13"/>
      <c r="AF8" s="18"/>
      <c r="AG8" s="11"/>
      <c r="AH8" s="11"/>
      <c r="AI8" s="13"/>
      <c r="AJ8" s="18"/>
      <c r="AK8" s="11"/>
      <c r="AL8" s="11"/>
      <c r="AM8" s="13"/>
      <c r="AN8" s="18"/>
      <c r="AO8" s="11"/>
      <c r="AP8" s="11"/>
      <c r="AQ8" s="13"/>
      <c r="AR8" s="18"/>
      <c r="AS8" s="11"/>
      <c r="AT8" s="11"/>
      <c r="AU8" s="13"/>
      <c r="AV8" s="18"/>
      <c r="AW8" s="11"/>
      <c r="AX8" s="11"/>
      <c r="AY8" s="13"/>
      <c r="AZ8" s="18"/>
      <c r="BA8" s="11"/>
      <c r="BB8" s="11"/>
      <c r="BC8" s="13"/>
      <c r="BD8" s="18"/>
      <c r="BE8" s="11"/>
      <c r="BF8" s="11"/>
      <c r="BG8" s="13"/>
      <c r="BH8" s="18"/>
      <c r="BI8" s="11"/>
      <c r="BJ8" s="11"/>
      <c r="BK8" s="13"/>
      <c r="BL8" s="18"/>
      <c r="BM8" s="11"/>
      <c r="BN8" s="11"/>
      <c r="BO8" s="13"/>
      <c r="BP8" s="18"/>
      <c r="BQ8" s="11"/>
      <c r="BR8" s="11"/>
      <c r="BS8" s="13"/>
      <c r="BT8" s="18"/>
      <c r="BU8" s="11"/>
      <c r="BV8" s="11"/>
      <c r="BW8" s="13"/>
      <c r="BX8" s="18"/>
      <c r="BY8" s="11"/>
      <c r="BZ8" s="11"/>
      <c r="CA8" s="13"/>
      <c r="CB8" s="18"/>
      <c r="CC8" s="11"/>
      <c r="CD8" s="11"/>
      <c r="CE8" s="13"/>
      <c r="CF8" s="18"/>
      <c r="CG8" s="11"/>
      <c r="CH8" s="11"/>
      <c r="CI8" s="13"/>
      <c r="CJ8" s="18"/>
      <c r="CK8" s="11"/>
      <c r="CL8" s="11"/>
      <c r="CM8" s="13"/>
      <c r="CN8" s="18"/>
      <c r="CO8" s="11"/>
      <c r="CP8" s="11"/>
      <c r="CQ8" s="13"/>
      <c r="CR8" s="18"/>
      <c r="CS8" s="11"/>
      <c r="CT8" s="11"/>
      <c r="CU8" s="13"/>
      <c r="CV8" s="18"/>
      <c r="CW8" s="11"/>
      <c r="CX8" s="11"/>
      <c r="CY8" s="13"/>
      <c r="CZ8" s="18"/>
      <c r="DA8" s="11"/>
      <c r="DB8" s="11"/>
      <c r="DC8" s="13"/>
      <c r="DD8" s="18"/>
      <c r="DE8" s="11"/>
      <c r="DF8" s="11"/>
      <c r="DG8" s="13"/>
      <c r="DH8" s="18"/>
      <c r="DI8" s="11"/>
      <c r="DJ8" s="11"/>
      <c r="DK8" s="13"/>
      <c r="DL8" s="18"/>
      <c r="DM8" s="11"/>
      <c r="DN8" s="11"/>
      <c r="DO8" s="13"/>
      <c r="DP8" s="18"/>
      <c r="DQ8" s="11"/>
      <c r="DR8" s="11"/>
      <c r="DS8" s="13"/>
      <c r="DT8" s="18"/>
      <c r="DU8" s="11"/>
      <c r="DV8" s="11"/>
      <c r="DW8" s="13"/>
      <c r="DX8" s="18"/>
      <c r="DY8" s="11"/>
      <c r="DZ8" s="11"/>
      <c r="EA8" s="13"/>
      <c r="EB8" s="18"/>
      <c r="EC8" s="11"/>
      <c r="ED8" s="11"/>
      <c r="EE8" s="13"/>
      <c r="EF8" s="18"/>
      <c r="EG8" s="11"/>
      <c r="EH8" s="11"/>
      <c r="EI8" s="13"/>
      <c r="EJ8" s="18"/>
      <c r="EK8" s="11"/>
      <c r="EL8" s="11"/>
      <c r="EM8" s="13"/>
      <c r="EN8" s="18"/>
      <c r="EO8" s="11"/>
      <c r="EP8" s="11"/>
      <c r="EQ8" s="13"/>
      <c r="ER8" s="18"/>
      <c r="ES8" s="11"/>
      <c r="ET8" s="11"/>
      <c r="EU8" s="13"/>
      <c r="EV8" s="18"/>
      <c r="EW8" s="11"/>
      <c r="EX8" s="11"/>
      <c r="EY8" s="13"/>
      <c r="EZ8" s="18"/>
      <c r="FA8" s="11"/>
      <c r="FB8" s="11"/>
      <c r="FC8" s="13"/>
      <c r="FD8" s="18"/>
      <c r="FE8" s="11"/>
      <c r="FF8" s="11"/>
      <c r="FG8" s="13"/>
      <c r="FH8" s="18"/>
      <c r="FI8" s="11"/>
      <c r="FJ8" s="11"/>
      <c r="FK8" s="13"/>
      <c r="FL8" s="18"/>
      <c r="FM8" s="11"/>
      <c r="FN8" s="11"/>
      <c r="FO8" s="13"/>
      <c r="FP8" s="18"/>
      <c r="FQ8" s="11"/>
      <c r="FR8" s="11"/>
      <c r="FS8" s="13"/>
      <c r="FT8" s="18"/>
      <c r="FU8" s="11"/>
      <c r="FV8" s="11"/>
      <c r="FW8" s="13"/>
      <c r="FX8" s="18"/>
      <c r="FY8" s="11"/>
      <c r="FZ8" s="11"/>
      <c r="GA8" s="13"/>
    </row>
    <row r="9" spans="1:183" s="45" customFormat="1" ht="24.75" customHeight="1">
      <c r="A9" s="55" t="s">
        <v>28</v>
      </c>
      <c r="B9" s="56">
        <v>39.8166</v>
      </c>
      <c r="C9" s="56">
        <v>22.2548</v>
      </c>
      <c r="D9" s="57" t="s">
        <v>29</v>
      </c>
      <c r="E9" s="55" t="s">
        <v>30</v>
      </c>
      <c r="F9" s="55" t="s">
        <v>11</v>
      </c>
      <c r="G9" s="55" t="s">
        <v>80</v>
      </c>
      <c r="H9" s="55">
        <v>2.73</v>
      </c>
      <c r="I9" s="55">
        <v>9.89</v>
      </c>
      <c r="J9" s="56">
        <v>0.167</v>
      </c>
      <c r="K9" s="58">
        <v>0.512818</v>
      </c>
      <c r="L9" s="58">
        <f>K9-J9*(EXP(0.00000000000654*802000000)-1)</f>
        <v>0.5119397704613091</v>
      </c>
      <c r="M9" s="59">
        <f>(L9/(0.512638-(0.1967*(EXP(0.00000000000654*802000000)-1)))-1)*10000</f>
        <v>6.571262187140547</v>
      </c>
      <c r="N9" s="60"/>
      <c r="O9" s="55"/>
      <c r="P9" s="55" t="s">
        <v>12</v>
      </c>
      <c r="Q9" s="14"/>
      <c r="R9" s="15"/>
      <c r="S9" s="16"/>
      <c r="T9" s="17"/>
      <c r="U9" s="11"/>
      <c r="V9" s="11"/>
      <c r="W9" s="13"/>
      <c r="X9" s="18"/>
      <c r="Y9" s="11"/>
      <c r="Z9" s="11"/>
      <c r="AA9" s="13"/>
      <c r="AB9" s="18"/>
      <c r="AC9" s="11"/>
      <c r="AD9" s="11"/>
      <c r="AE9" s="13"/>
      <c r="AF9" s="18"/>
      <c r="AG9" s="11"/>
      <c r="AH9" s="11"/>
      <c r="AI9" s="13"/>
      <c r="AJ9" s="18"/>
      <c r="AK9" s="11"/>
      <c r="AL9" s="11"/>
      <c r="AM9" s="13"/>
      <c r="AN9" s="18"/>
      <c r="AO9" s="11"/>
      <c r="AP9" s="11"/>
      <c r="AQ9" s="13"/>
      <c r="AR9" s="18"/>
      <c r="AS9" s="11"/>
      <c r="AT9" s="11"/>
      <c r="AU9" s="13"/>
      <c r="AV9" s="18"/>
      <c r="AW9" s="11"/>
      <c r="AX9" s="11"/>
      <c r="AY9" s="13"/>
      <c r="AZ9" s="18"/>
      <c r="BA9" s="11"/>
      <c r="BB9" s="11"/>
      <c r="BC9" s="13"/>
      <c r="BD9" s="18"/>
      <c r="BE9" s="11"/>
      <c r="BF9" s="11"/>
      <c r="BG9" s="13"/>
      <c r="BH9" s="18"/>
      <c r="BI9" s="11"/>
      <c r="BJ9" s="11"/>
      <c r="BK9" s="13"/>
      <c r="BL9" s="18"/>
      <c r="BM9" s="11"/>
      <c r="BN9" s="11"/>
      <c r="BO9" s="13"/>
      <c r="BP9" s="18"/>
      <c r="BQ9" s="11"/>
      <c r="BR9" s="11"/>
      <c r="BS9" s="13"/>
      <c r="BT9" s="18"/>
      <c r="BU9" s="11"/>
      <c r="BV9" s="11"/>
      <c r="BW9" s="13"/>
      <c r="BX9" s="18"/>
      <c r="BY9" s="11"/>
      <c r="BZ9" s="11"/>
      <c r="CA9" s="13"/>
      <c r="CB9" s="18"/>
      <c r="CC9" s="11"/>
      <c r="CD9" s="11"/>
      <c r="CE9" s="13"/>
      <c r="CF9" s="18"/>
      <c r="CG9" s="11"/>
      <c r="CH9" s="11"/>
      <c r="CI9" s="13"/>
      <c r="CJ9" s="18"/>
      <c r="CK9" s="11"/>
      <c r="CL9" s="11"/>
      <c r="CM9" s="13"/>
      <c r="CN9" s="18"/>
      <c r="CO9" s="11"/>
      <c r="CP9" s="11"/>
      <c r="CQ9" s="13"/>
      <c r="CR9" s="18"/>
      <c r="CS9" s="11"/>
      <c r="CT9" s="11"/>
      <c r="CU9" s="13"/>
      <c r="CV9" s="18"/>
      <c r="CW9" s="11"/>
      <c r="CX9" s="11"/>
      <c r="CY9" s="13"/>
      <c r="CZ9" s="18"/>
      <c r="DA9" s="11"/>
      <c r="DB9" s="11"/>
      <c r="DC9" s="13"/>
      <c r="DD9" s="18"/>
      <c r="DE9" s="11"/>
      <c r="DF9" s="11"/>
      <c r="DG9" s="13"/>
      <c r="DH9" s="18"/>
      <c r="DI9" s="11"/>
      <c r="DJ9" s="11"/>
      <c r="DK9" s="13"/>
      <c r="DL9" s="18"/>
      <c r="DM9" s="11"/>
      <c r="DN9" s="11"/>
      <c r="DO9" s="13"/>
      <c r="DP9" s="18"/>
      <c r="DQ9" s="11"/>
      <c r="DR9" s="11"/>
      <c r="DS9" s="13"/>
      <c r="DT9" s="18"/>
      <c r="DU9" s="11"/>
      <c r="DV9" s="11"/>
      <c r="DW9" s="13"/>
      <c r="DX9" s="18"/>
      <c r="DY9" s="11"/>
      <c r="DZ9" s="11"/>
      <c r="EA9" s="13"/>
      <c r="EB9" s="18"/>
      <c r="EC9" s="11"/>
      <c r="ED9" s="11"/>
      <c r="EE9" s="13"/>
      <c r="EF9" s="18"/>
      <c r="EG9" s="11"/>
      <c r="EH9" s="11"/>
      <c r="EI9" s="13"/>
      <c r="EJ9" s="18"/>
      <c r="EK9" s="11"/>
      <c r="EL9" s="11"/>
      <c r="EM9" s="13"/>
      <c r="EN9" s="18"/>
      <c r="EO9" s="11"/>
      <c r="EP9" s="11"/>
      <c r="EQ9" s="13"/>
      <c r="ER9" s="18"/>
      <c r="ES9" s="11"/>
      <c r="ET9" s="11"/>
      <c r="EU9" s="13"/>
      <c r="EV9" s="18"/>
      <c r="EW9" s="11"/>
      <c r="EX9" s="11"/>
      <c r="EY9" s="13"/>
      <c r="EZ9" s="18"/>
      <c r="FA9" s="11"/>
      <c r="FB9" s="11"/>
      <c r="FC9" s="13"/>
      <c r="FD9" s="18"/>
      <c r="FE9" s="11"/>
      <c r="FF9" s="11"/>
      <c r="FG9" s="13"/>
      <c r="FH9" s="18"/>
      <c r="FI9" s="11"/>
      <c r="FJ9" s="11"/>
      <c r="FK9" s="13"/>
      <c r="FL9" s="18"/>
      <c r="FM9" s="11"/>
      <c r="FN9" s="11"/>
      <c r="FO9" s="13"/>
      <c r="FP9" s="18"/>
      <c r="FQ9" s="11"/>
      <c r="FR9" s="11"/>
      <c r="FS9" s="13"/>
      <c r="FT9" s="18"/>
      <c r="FU9" s="11"/>
      <c r="FV9" s="11"/>
      <c r="FW9" s="13"/>
      <c r="FX9" s="18"/>
      <c r="FY9" s="11"/>
      <c r="FZ9" s="11"/>
      <c r="GA9" s="13"/>
    </row>
    <row r="10" spans="1:183" s="45" customFormat="1" ht="24.75" customHeight="1">
      <c r="A10" s="55" t="s">
        <v>31</v>
      </c>
      <c r="B10" s="56">
        <v>39.5902</v>
      </c>
      <c r="C10" s="56">
        <v>22.5517</v>
      </c>
      <c r="D10" s="57" t="s">
        <v>32</v>
      </c>
      <c r="E10" s="55" t="s">
        <v>33</v>
      </c>
      <c r="F10" s="55" t="s">
        <v>11</v>
      </c>
      <c r="G10" s="55" t="s">
        <v>80</v>
      </c>
      <c r="H10" s="59">
        <v>3.1</v>
      </c>
      <c r="I10" s="55">
        <v>10.53</v>
      </c>
      <c r="J10" s="56">
        <v>0.178</v>
      </c>
      <c r="K10" s="58">
        <v>0.512869</v>
      </c>
      <c r="L10" s="58">
        <f>K10-J10*(EXP(0.00000000000654*751000000)-1)</f>
        <v>0.511992595393668</v>
      </c>
      <c r="M10" s="59">
        <f>(L10/(0.512638-(0.1967*(EXP(0.00000000000654*751000000)-1)))-1)*10000</f>
        <v>6.314070018456075</v>
      </c>
      <c r="N10" s="55"/>
      <c r="O10" s="55"/>
      <c r="P10" s="55" t="s">
        <v>12</v>
      </c>
      <c r="Q10" s="14"/>
      <c r="R10" s="15"/>
      <c r="S10" s="16"/>
      <c r="T10" s="17"/>
      <c r="U10" s="11"/>
      <c r="V10" s="11"/>
      <c r="W10" s="13"/>
      <c r="X10" s="18"/>
      <c r="Y10" s="11"/>
      <c r="Z10" s="11"/>
      <c r="AA10" s="13"/>
      <c r="AB10" s="18"/>
      <c r="AC10" s="11"/>
      <c r="AD10" s="11"/>
      <c r="AE10" s="13"/>
      <c r="AF10" s="18"/>
      <c r="AG10" s="11"/>
      <c r="AH10" s="11"/>
      <c r="AI10" s="13"/>
      <c r="AJ10" s="18"/>
      <c r="AK10" s="11"/>
      <c r="AL10" s="11"/>
      <c r="AM10" s="13"/>
      <c r="AN10" s="18"/>
      <c r="AO10" s="11"/>
      <c r="AP10" s="11"/>
      <c r="AQ10" s="13"/>
      <c r="AR10" s="18"/>
      <c r="AS10" s="11"/>
      <c r="AT10" s="11"/>
      <c r="AU10" s="13"/>
      <c r="AV10" s="18"/>
      <c r="AW10" s="11"/>
      <c r="AX10" s="11"/>
      <c r="AY10" s="13"/>
      <c r="AZ10" s="18"/>
      <c r="BA10" s="11"/>
      <c r="BB10" s="11"/>
      <c r="BC10" s="13"/>
      <c r="BD10" s="18"/>
      <c r="BE10" s="11"/>
      <c r="BF10" s="11"/>
      <c r="BG10" s="13"/>
      <c r="BH10" s="18"/>
      <c r="BI10" s="11"/>
      <c r="BJ10" s="11"/>
      <c r="BK10" s="13"/>
      <c r="BL10" s="18"/>
      <c r="BM10" s="11"/>
      <c r="BN10" s="11"/>
      <c r="BO10" s="13"/>
      <c r="BP10" s="18"/>
      <c r="BQ10" s="11"/>
      <c r="BR10" s="11"/>
      <c r="BS10" s="13"/>
      <c r="BT10" s="18"/>
      <c r="BU10" s="11"/>
      <c r="BV10" s="11"/>
      <c r="BW10" s="13"/>
      <c r="BX10" s="18"/>
      <c r="BY10" s="11"/>
      <c r="BZ10" s="11"/>
      <c r="CA10" s="13"/>
      <c r="CB10" s="18"/>
      <c r="CC10" s="11"/>
      <c r="CD10" s="11"/>
      <c r="CE10" s="13"/>
      <c r="CF10" s="18"/>
      <c r="CG10" s="11"/>
      <c r="CH10" s="11"/>
      <c r="CI10" s="13"/>
      <c r="CJ10" s="18"/>
      <c r="CK10" s="11"/>
      <c r="CL10" s="11"/>
      <c r="CM10" s="13"/>
      <c r="CN10" s="18"/>
      <c r="CO10" s="11"/>
      <c r="CP10" s="11"/>
      <c r="CQ10" s="13"/>
      <c r="CR10" s="18"/>
      <c r="CS10" s="11"/>
      <c r="CT10" s="11"/>
      <c r="CU10" s="13"/>
      <c r="CV10" s="18"/>
      <c r="CW10" s="11"/>
      <c r="CX10" s="11"/>
      <c r="CY10" s="13"/>
      <c r="CZ10" s="18"/>
      <c r="DA10" s="11"/>
      <c r="DB10" s="11"/>
      <c r="DC10" s="13"/>
      <c r="DD10" s="18"/>
      <c r="DE10" s="11"/>
      <c r="DF10" s="11"/>
      <c r="DG10" s="13"/>
      <c r="DH10" s="18"/>
      <c r="DI10" s="11"/>
      <c r="DJ10" s="11"/>
      <c r="DK10" s="13"/>
      <c r="DL10" s="18"/>
      <c r="DM10" s="11"/>
      <c r="DN10" s="11"/>
      <c r="DO10" s="13"/>
      <c r="DP10" s="18"/>
      <c r="DQ10" s="11"/>
      <c r="DR10" s="11"/>
      <c r="DS10" s="13"/>
      <c r="DT10" s="18"/>
      <c r="DU10" s="11"/>
      <c r="DV10" s="11"/>
      <c r="DW10" s="13"/>
      <c r="DX10" s="18"/>
      <c r="DY10" s="11"/>
      <c r="DZ10" s="11"/>
      <c r="EA10" s="13"/>
      <c r="EB10" s="18"/>
      <c r="EC10" s="11"/>
      <c r="ED10" s="11"/>
      <c r="EE10" s="13"/>
      <c r="EF10" s="18"/>
      <c r="EG10" s="11"/>
      <c r="EH10" s="11"/>
      <c r="EI10" s="13"/>
      <c r="EJ10" s="18"/>
      <c r="EK10" s="11"/>
      <c r="EL10" s="11"/>
      <c r="EM10" s="13"/>
      <c r="EN10" s="18"/>
      <c r="EO10" s="11"/>
      <c r="EP10" s="11"/>
      <c r="EQ10" s="13"/>
      <c r="ER10" s="18"/>
      <c r="ES10" s="11"/>
      <c r="ET10" s="11"/>
      <c r="EU10" s="13"/>
      <c r="EV10" s="18"/>
      <c r="EW10" s="11"/>
      <c r="EX10" s="11"/>
      <c r="EY10" s="13"/>
      <c r="EZ10" s="18"/>
      <c r="FA10" s="11"/>
      <c r="FB10" s="11"/>
      <c r="FC10" s="13"/>
      <c r="FD10" s="18"/>
      <c r="FE10" s="11"/>
      <c r="FF10" s="11"/>
      <c r="FG10" s="13"/>
      <c r="FH10" s="18"/>
      <c r="FI10" s="11"/>
      <c r="FJ10" s="11"/>
      <c r="FK10" s="13"/>
      <c r="FL10" s="18"/>
      <c r="FM10" s="11"/>
      <c r="FN10" s="11"/>
      <c r="FO10" s="13"/>
      <c r="FP10" s="18"/>
      <c r="FQ10" s="11"/>
      <c r="FR10" s="11"/>
      <c r="FS10" s="13"/>
      <c r="FT10" s="18"/>
      <c r="FU10" s="11"/>
      <c r="FV10" s="11"/>
      <c r="FW10" s="13"/>
      <c r="FX10" s="18"/>
      <c r="FY10" s="11"/>
      <c r="FZ10" s="11"/>
      <c r="GA10" s="13"/>
    </row>
    <row r="11" spans="1:183" s="45" customFormat="1" ht="24.75" customHeight="1">
      <c r="A11" s="55" t="s">
        <v>34</v>
      </c>
      <c r="B11" s="56">
        <v>39.395</v>
      </c>
      <c r="C11" s="56">
        <v>22.6405</v>
      </c>
      <c r="D11" s="57" t="s">
        <v>35</v>
      </c>
      <c r="E11" s="55" t="s">
        <v>36</v>
      </c>
      <c r="F11" s="55" t="s">
        <v>37</v>
      </c>
      <c r="G11" s="55" t="s">
        <v>80</v>
      </c>
      <c r="H11" s="55">
        <v>0.71</v>
      </c>
      <c r="I11" s="55">
        <v>1.32</v>
      </c>
      <c r="J11" s="56">
        <v>0.325</v>
      </c>
      <c r="K11" s="58">
        <v>0.513643</v>
      </c>
      <c r="L11" s="58">
        <f>K11-J11*(EXP(0.00000000000654*777000000)-1)</f>
        <v>0.5119872832342867</v>
      </c>
      <c r="M11" s="59">
        <f>(L11/(0.512638-(0.1967*(EXP(0.00000000000654*777000000)-1)))-1)*10000</f>
        <v>6.867656465514571</v>
      </c>
      <c r="N11" s="55"/>
      <c r="O11" s="55"/>
      <c r="P11" s="55" t="s">
        <v>12</v>
      </c>
      <c r="Q11" s="14"/>
      <c r="R11" s="11"/>
      <c r="S11" s="13"/>
      <c r="T11" s="17"/>
      <c r="U11" s="11"/>
      <c r="V11" s="11"/>
      <c r="W11" s="13"/>
      <c r="X11" s="18"/>
      <c r="Y11" s="11"/>
      <c r="Z11" s="11"/>
      <c r="AA11" s="13"/>
      <c r="AB11" s="18"/>
      <c r="AC11" s="11"/>
      <c r="AD11" s="11"/>
      <c r="AE11" s="13"/>
      <c r="AF11" s="18"/>
      <c r="AG11" s="11"/>
      <c r="AH11" s="11"/>
      <c r="AI11" s="13"/>
      <c r="AJ11" s="18"/>
      <c r="AK11" s="11"/>
      <c r="AL11" s="11"/>
      <c r="AM11" s="13"/>
      <c r="AN11" s="18"/>
      <c r="AO11" s="11"/>
      <c r="AP11" s="11"/>
      <c r="AQ11" s="13"/>
      <c r="AR11" s="18"/>
      <c r="AS11" s="11"/>
      <c r="AT11" s="11"/>
      <c r="AU11" s="13"/>
      <c r="AV11" s="18"/>
      <c r="AW11" s="11"/>
      <c r="AX11" s="11"/>
      <c r="AY11" s="13"/>
      <c r="AZ11" s="18"/>
      <c r="BA11" s="11"/>
      <c r="BB11" s="11"/>
      <c r="BC11" s="13"/>
      <c r="BD11" s="18"/>
      <c r="BE11" s="11"/>
      <c r="BF11" s="11"/>
      <c r="BG11" s="13"/>
      <c r="BH11" s="18"/>
      <c r="BI11" s="11"/>
      <c r="BJ11" s="11"/>
      <c r="BK11" s="13"/>
      <c r="BL11" s="18"/>
      <c r="BM11" s="11"/>
      <c r="BN11" s="11"/>
      <c r="BO11" s="13"/>
      <c r="BP11" s="18"/>
      <c r="BQ11" s="11"/>
      <c r="BR11" s="11"/>
      <c r="BS11" s="13"/>
      <c r="BT11" s="18"/>
      <c r="BU11" s="11"/>
      <c r="BV11" s="11"/>
      <c r="BW11" s="13"/>
      <c r="BX11" s="18"/>
      <c r="BY11" s="11"/>
      <c r="BZ11" s="11"/>
      <c r="CA11" s="13"/>
      <c r="CB11" s="18"/>
      <c r="CC11" s="11"/>
      <c r="CD11" s="11"/>
      <c r="CE11" s="13"/>
      <c r="CF11" s="18"/>
      <c r="CG11" s="11"/>
      <c r="CH11" s="11"/>
      <c r="CI11" s="13"/>
      <c r="CJ11" s="18"/>
      <c r="CK11" s="11"/>
      <c r="CL11" s="11"/>
      <c r="CM11" s="13"/>
      <c r="CN11" s="18"/>
      <c r="CO11" s="11"/>
      <c r="CP11" s="11"/>
      <c r="CQ11" s="13"/>
      <c r="CR11" s="18"/>
      <c r="CS11" s="11"/>
      <c r="CT11" s="11"/>
      <c r="CU11" s="13"/>
      <c r="CV11" s="18"/>
      <c r="CW11" s="11"/>
      <c r="CX11" s="11"/>
      <c r="CY11" s="13"/>
      <c r="CZ11" s="18"/>
      <c r="DA11" s="11"/>
      <c r="DB11" s="11"/>
      <c r="DC11" s="13"/>
      <c r="DD11" s="18"/>
      <c r="DE11" s="11"/>
      <c r="DF11" s="11"/>
      <c r="DG11" s="13"/>
      <c r="DH11" s="18"/>
      <c r="DI11" s="11"/>
      <c r="DJ11" s="11"/>
      <c r="DK11" s="13"/>
      <c r="DL11" s="18"/>
      <c r="DM11" s="11"/>
      <c r="DN11" s="11"/>
      <c r="DO11" s="13"/>
      <c r="DP11" s="18"/>
      <c r="DQ11" s="11"/>
      <c r="DR11" s="11"/>
      <c r="DS11" s="13"/>
      <c r="DT11" s="18"/>
      <c r="DU11" s="11"/>
      <c r="DV11" s="11"/>
      <c r="DW11" s="13"/>
      <c r="DX11" s="18"/>
      <c r="DY11" s="11"/>
      <c r="DZ11" s="11"/>
      <c r="EA11" s="13"/>
      <c r="EB11" s="18"/>
      <c r="EC11" s="11"/>
      <c r="ED11" s="11"/>
      <c r="EE11" s="13"/>
      <c r="EF11" s="18"/>
      <c r="EG11" s="11"/>
      <c r="EH11" s="11"/>
      <c r="EI11" s="13"/>
      <c r="EJ11" s="18"/>
      <c r="EK11" s="11"/>
      <c r="EL11" s="11"/>
      <c r="EM11" s="13"/>
      <c r="EN11" s="18"/>
      <c r="EO11" s="11"/>
      <c r="EP11" s="11"/>
      <c r="EQ11" s="13"/>
      <c r="ER11" s="18"/>
      <c r="ES11" s="11"/>
      <c r="ET11" s="11"/>
      <c r="EU11" s="13"/>
      <c r="EV11" s="18"/>
      <c r="EW11" s="11"/>
      <c r="EX11" s="11"/>
      <c r="EY11" s="13"/>
      <c r="EZ11" s="18"/>
      <c r="FA11" s="11"/>
      <c r="FB11" s="11"/>
      <c r="FC11" s="13"/>
      <c r="FD11" s="18"/>
      <c r="FE11" s="11"/>
      <c r="FF11" s="11"/>
      <c r="FG11" s="13"/>
      <c r="FH11" s="18"/>
      <c r="FI11" s="11"/>
      <c r="FJ11" s="11"/>
      <c r="FK11" s="13"/>
      <c r="FL11" s="18"/>
      <c r="FM11" s="11"/>
      <c r="FN11" s="11"/>
      <c r="FO11" s="13"/>
      <c r="FP11" s="18"/>
      <c r="FQ11" s="11"/>
      <c r="FR11" s="11"/>
      <c r="FS11" s="13"/>
      <c r="FT11" s="18"/>
      <c r="FU11" s="11"/>
      <c r="FV11" s="11"/>
      <c r="FW11" s="13"/>
      <c r="FX11" s="18"/>
      <c r="FY11" s="11"/>
      <c r="FZ11" s="11"/>
      <c r="GA11" s="13"/>
    </row>
    <row r="12" spans="1:183" s="45" customFormat="1" ht="24.75" customHeight="1">
      <c r="A12" s="55" t="s">
        <v>38</v>
      </c>
      <c r="B12" s="56">
        <v>40.6581</v>
      </c>
      <c r="C12" s="56">
        <v>22.4232</v>
      </c>
      <c r="D12" s="57" t="s">
        <v>39</v>
      </c>
      <c r="E12" s="55" t="s">
        <v>40</v>
      </c>
      <c r="F12" s="55" t="s">
        <v>11</v>
      </c>
      <c r="G12" s="55" t="s">
        <v>80</v>
      </c>
      <c r="H12" s="55">
        <v>7.89</v>
      </c>
      <c r="I12" s="55">
        <v>33.18</v>
      </c>
      <c r="J12" s="56">
        <v>0.144</v>
      </c>
      <c r="K12" s="58">
        <v>0.512711</v>
      </c>
      <c r="L12" s="58">
        <f>K12-J12*(EXP(0.00000000000654*777000000)-1)</f>
        <v>0.5119773901099609</v>
      </c>
      <c r="M12" s="59">
        <f>(L12/(0.512638-(0.1967*(EXP(0.00000000000654*777000000)-1)))-1)*10000</f>
        <v>6.674293878046189</v>
      </c>
      <c r="N12" s="55">
        <v>963</v>
      </c>
      <c r="O12" s="55">
        <v>710</v>
      </c>
      <c r="P12" s="55" t="s">
        <v>12</v>
      </c>
      <c r="Q12" s="14"/>
      <c r="R12" s="15"/>
      <c r="S12" s="16"/>
      <c r="T12" s="17"/>
      <c r="U12" s="11"/>
      <c r="V12" s="11"/>
      <c r="W12" s="13"/>
      <c r="X12" s="18"/>
      <c r="Y12" s="11"/>
      <c r="Z12" s="11"/>
      <c r="AA12" s="13"/>
      <c r="AB12" s="18"/>
      <c r="AC12" s="11"/>
      <c r="AD12" s="11"/>
      <c r="AE12" s="13"/>
      <c r="AF12" s="18"/>
      <c r="AG12" s="11"/>
      <c r="AH12" s="11"/>
      <c r="AI12" s="13"/>
      <c r="AJ12" s="18"/>
      <c r="AK12" s="11"/>
      <c r="AL12" s="11"/>
      <c r="AM12" s="13"/>
      <c r="AN12" s="18"/>
      <c r="AO12" s="11"/>
      <c r="AP12" s="11"/>
      <c r="AQ12" s="13"/>
      <c r="AR12" s="18"/>
      <c r="AS12" s="11"/>
      <c r="AT12" s="11"/>
      <c r="AU12" s="13"/>
      <c r="AV12" s="18"/>
      <c r="AW12" s="11"/>
      <c r="AX12" s="11"/>
      <c r="AY12" s="13"/>
      <c r="AZ12" s="18"/>
      <c r="BA12" s="11"/>
      <c r="BB12" s="11"/>
      <c r="BC12" s="13"/>
      <c r="BD12" s="18"/>
      <c r="BE12" s="11"/>
      <c r="BF12" s="11"/>
      <c r="BG12" s="13"/>
      <c r="BH12" s="18"/>
      <c r="BI12" s="11"/>
      <c r="BJ12" s="11"/>
      <c r="BK12" s="13"/>
      <c r="BL12" s="18"/>
      <c r="BM12" s="11"/>
      <c r="BN12" s="11"/>
      <c r="BO12" s="13"/>
      <c r="BP12" s="18"/>
      <c r="BQ12" s="11"/>
      <c r="BR12" s="11"/>
      <c r="BS12" s="13"/>
      <c r="BT12" s="18"/>
      <c r="BU12" s="11"/>
      <c r="BV12" s="11"/>
      <c r="BW12" s="13"/>
      <c r="BX12" s="18"/>
      <c r="BY12" s="11"/>
      <c r="BZ12" s="11"/>
      <c r="CA12" s="13"/>
      <c r="CB12" s="18"/>
      <c r="CC12" s="11"/>
      <c r="CD12" s="11"/>
      <c r="CE12" s="13"/>
      <c r="CF12" s="18"/>
      <c r="CG12" s="11"/>
      <c r="CH12" s="11"/>
      <c r="CI12" s="13"/>
      <c r="CJ12" s="18"/>
      <c r="CK12" s="11"/>
      <c r="CL12" s="11"/>
      <c r="CM12" s="13"/>
      <c r="CN12" s="18"/>
      <c r="CO12" s="11"/>
      <c r="CP12" s="11"/>
      <c r="CQ12" s="13"/>
      <c r="CR12" s="18"/>
      <c r="CS12" s="11"/>
      <c r="CT12" s="11"/>
      <c r="CU12" s="13"/>
      <c r="CV12" s="18"/>
      <c r="CW12" s="11"/>
      <c r="CX12" s="11"/>
      <c r="CY12" s="13"/>
      <c r="CZ12" s="18"/>
      <c r="DA12" s="11"/>
      <c r="DB12" s="11"/>
      <c r="DC12" s="13"/>
      <c r="DD12" s="18"/>
      <c r="DE12" s="11"/>
      <c r="DF12" s="11"/>
      <c r="DG12" s="13"/>
      <c r="DH12" s="18"/>
      <c r="DI12" s="11"/>
      <c r="DJ12" s="11"/>
      <c r="DK12" s="13"/>
      <c r="DL12" s="18"/>
      <c r="DM12" s="11"/>
      <c r="DN12" s="11"/>
      <c r="DO12" s="13"/>
      <c r="DP12" s="18"/>
      <c r="DQ12" s="11"/>
      <c r="DR12" s="11"/>
      <c r="DS12" s="13"/>
      <c r="DT12" s="18"/>
      <c r="DU12" s="11"/>
      <c r="DV12" s="11"/>
      <c r="DW12" s="13"/>
      <c r="DX12" s="18"/>
      <c r="DY12" s="11"/>
      <c r="DZ12" s="11"/>
      <c r="EA12" s="13"/>
      <c r="EB12" s="18"/>
      <c r="EC12" s="11"/>
      <c r="ED12" s="11"/>
      <c r="EE12" s="13"/>
      <c r="EF12" s="18"/>
      <c r="EG12" s="11"/>
      <c r="EH12" s="11"/>
      <c r="EI12" s="13"/>
      <c r="EJ12" s="18"/>
      <c r="EK12" s="11"/>
      <c r="EL12" s="11"/>
      <c r="EM12" s="13"/>
      <c r="EN12" s="18"/>
      <c r="EO12" s="11"/>
      <c r="EP12" s="11"/>
      <c r="EQ12" s="13"/>
      <c r="ER12" s="18"/>
      <c r="ES12" s="11"/>
      <c r="ET12" s="11"/>
      <c r="EU12" s="13"/>
      <c r="EV12" s="18"/>
      <c r="EW12" s="11"/>
      <c r="EX12" s="11"/>
      <c r="EY12" s="13"/>
      <c r="EZ12" s="18"/>
      <c r="FA12" s="11"/>
      <c r="FB12" s="11"/>
      <c r="FC12" s="13"/>
      <c r="FD12" s="18"/>
      <c r="FE12" s="11"/>
      <c r="FF12" s="11"/>
      <c r="FG12" s="13"/>
      <c r="FH12" s="18"/>
      <c r="FI12" s="11"/>
      <c r="FJ12" s="11"/>
      <c r="FK12" s="13"/>
      <c r="FL12" s="18"/>
      <c r="FM12" s="11"/>
      <c r="FN12" s="11"/>
      <c r="FO12" s="13"/>
      <c r="FP12" s="18"/>
      <c r="FQ12" s="11"/>
      <c r="FR12" s="11"/>
      <c r="FS12" s="13"/>
      <c r="FT12" s="18"/>
      <c r="FU12" s="11"/>
      <c r="FV12" s="11"/>
      <c r="FW12" s="13"/>
      <c r="FX12" s="18"/>
      <c r="FY12" s="11"/>
      <c r="FZ12" s="11"/>
      <c r="GA12" s="13"/>
    </row>
    <row r="13" spans="1:183" s="45" customFormat="1" ht="24.75" customHeight="1">
      <c r="A13" s="55" t="s">
        <v>41</v>
      </c>
      <c r="B13" s="56">
        <v>40.66</v>
      </c>
      <c r="C13" s="56">
        <v>22.4335</v>
      </c>
      <c r="D13" s="57" t="s">
        <v>42</v>
      </c>
      <c r="E13" s="55" t="s">
        <v>43</v>
      </c>
      <c r="F13" s="55" t="s">
        <v>11</v>
      </c>
      <c r="G13" s="55" t="s">
        <v>80</v>
      </c>
      <c r="H13" s="55">
        <v>6.41</v>
      </c>
      <c r="I13" s="55">
        <v>29.32</v>
      </c>
      <c r="J13" s="56">
        <v>0.132</v>
      </c>
      <c r="K13" s="58">
        <v>0.512714</v>
      </c>
      <c r="L13" s="58">
        <f>K13-J13*(EXP(0.00000000000654*769000000)-1)</f>
        <v>0.51204846550981</v>
      </c>
      <c r="M13" s="59">
        <f>(L13/(0.512638-(0.1967*(EXP(0.00000000000654*769000000)-1)))-1)*10000</f>
        <v>7.861148920251804</v>
      </c>
      <c r="N13" s="55">
        <v>816</v>
      </c>
      <c r="O13" s="55">
        <v>610</v>
      </c>
      <c r="P13" s="55" t="s">
        <v>12</v>
      </c>
      <c r="Q13" s="14"/>
      <c r="R13" s="15"/>
      <c r="S13" s="16"/>
      <c r="T13" s="17"/>
      <c r="U13" s="11"/>
      <c r="V13" s="11"/>
      <c r="W13" s="13"/>
      <c r="X13" s="18"/>
      <c r="Y13" s="11"/>
      <c r="Z13" s="11"/>
      <c r="AA13" s="13"/>
      <c r="AB13" s="18"/>
      <c r="AC13" s="11"/>
      <c r="AD13" s="11"/>
      <c r="AE13" s="13"/>
      <c r="AF13" s="18"/>
      <c r="AG13" s="11"/>
      <c r="AH13" s="11"/>
      <c r="AI13" s="13"/>
      <c r="AJ13" s="18"/>
      <c r="AK13" s="11"/>
      <c r="AL13" s="11"/>
      <c r="AM13" s="13"/>
      <c r="AN13" s="18"/>
      <c r="AO13" s="11"/>
      <c r="AP13" s="11"/>
      <c r="AQ13" s="13"/>
      <c r="AR13" s="18"/>
      <c r="AS13" s="11"/>
      <c r="AT13" s="11"/>
      <c r="AU13" s="13"/>
      <c r="AV13" s="18"/>
      <c r="AW13" s="11"/>
      <c r="AX13" s="11"/>
      <c r="AY13" s="13"/>
      <c r="AZ13" s="18"/>
      <c r="BA13" s="11"/>
      <c r="BB13" s="11"/>
      <c r="BC13" s="13"/>
      <c r="BD13" s="18"/>
      <c r="BE13" s="11"/>
      <c r="BF13" s="11"/>
      <c r="BG13" s="13"/>
      <c r="BH13" s="18"/>
      <c r="BI13" s="11"/>
      <c r="BJ13" s="11"/>
      <c r="BK13" s="13"/>
      <c r="BL13" s="18"/>
      <c r="BM13" s="11"/>
      <c r="BN13" s="11"/>
      <c r="BO13" s="13"/>
      <c r="BP13" s="18"/>
      <c r="BQ13" s="11"/>
      <c r="BR13" s="11"/>
      <c r="BS13" s="13"/>
      <c r="BT13" s="18"/>
      <c r="BU13" s="11"/>
      <c r="BV13" s="11"/>
      <c r="BW13" s="13"/>
      <c r="BX13" s="18"/>
      <c r="BY13" s="11"/>
      <c r="BZ13" s="11"/>
      <c r="CA13" s="13"/>
      <c r="CB13" s="18"/>
      <c r="CC13" s="11"/>
      <c r="CD13" s="11"/>
      <c r="CE13" s="13"/>
      <c r="CF13" s="18"/>
      <c r="CG13" s="11"/>
      <c r="CH13" s="11"/>
      <c r="CI13" s="13"/>
      <c r="CJ13" s="18"/>
      <c r="CK13" s="11"/>
      <c r="CL13" s="11"/>
      <c r="CM13" s="13"/>
      <c r="CN13" s="18"/>
      <c r="CO13" s="11"/>
      <c r="CP13" s="11"/>
      <c r="CQ13" s="13"/>
      <c r="CR13" s="18"/>
      <c r="CS13" s="11"/>
      <c r="CT13" s="11"/>
      <c r="CU13" s="13"/>
      <c r="CV13" s="18"/>
      <c r="CW13" s="11"/>
      <c r="CX13" s="11"/>
      <c r="CY13" s="13"/>
      <c r="CZ13" s="18"/>
      <c r="DA13" s="11"/>
      <c r="DB13" s="11"/>
      <c r="DC13" s="13"/>
      <c r="DD13" s="18"/>
      <c r="DE13" s="11"/>
      <c r="DF13" s="11"/>
      <c r="DG13" s="13"/>
      <c r="DH13" s="18"/>
      <c r="DI13" s="11"/>
      <c r="DJ13" s="11"/>
      <c r="DK13" s="13"/>
      <c r="DL13" s="18"/>
      <c r="DM13" s="11"/>
      <c r="DN13" s="11"/>
      <c r="DO13" s="13"/>
      <c r="DP13" s="18"/>
      <c r="DQ13" s="11"/>
      <c r="DR13" s="11"/>
      <c r="DS13" s="13"/>
      <c r="DT13" s="18"/>
      <c r="DU13" s="11"/>
      <c r="DV13" s="11"/>
      <c r="DW13" s="13"/>
      <c r="DX13" s="18"/>
      <c r="DY13" s="11"/>
      <c r="DZ13" s="11"/>
      <c r="EA13" s="13"/>
      <c r="EB13" s="18"/>
      <c r="EC13" s="11"/>
      <c r="ED13" s="11"/>
      <c r="EE13" s="13"/>
      <c r="EF13" s="18"/>
      <c r="EG13" s="11"/>
      <c r="EH13" s="11"/>
      <c r="EI13" s="13"/>
      <c r="EJ13" s="18"/>
      <c r="EK13" s="11"/>
      <c r="EL13" s="11"/>
      <c r="EM13" s="13"/>
      <c r="EN13" s="18"/>
      <c r="EO13" s="11"/>
      <c r="EP13" s="11"/>
      <c r="EQ13" s="13"/>
      <c r="ER13" s="18"/>
      <c r="ES13" s="11"/>
      <c r="ET13" s="11"/>
      <c r="EU13" s="13"/>
      <c r="EV13" s="18"/>
      <c r="EW13" s="11"/>
      <c r="EX13" s="11"/>
      <c r="EY13" s="13"/>
      <c r="EZ13" s="18"/>
      <c r="FA13" s="11"/>
      <c r="FB13" s="11"/>
      <c r="FC13" s="13"/>
      <c r="FD13" s="18"/>
      <c r="FE13" s="11"/>
      <c r="FF13" s="11"/>
      <c r="FG13" s="13"/>
      <c r="FH13" s="18"/>
      <c r="FI13" s="11"/>
      <c r="FJ13" s="11"/>
      <c r="FK13" s="13"/>
      <c r="FL13" s="18"/>
      <c r="FM13" s="11"/>
      <c r="FN13" s="11"/>
      <c r="FO13" s="13"/>
      <c r="FP13" s="18"/>
      <c r="FQ13" s="11"/>
      <c r="FR13" s="11"/>
      <c r="FS13" s="13"/>
      <c r="FT13" s="18"/>
      <c r="FU13" s="11"/>
      <c r="FV13" s="11"/>
      <c r="FW13" s="13"/>
      <c r="FX13" s="18"/>
      <c r="FY13" s="11"/>
      <c r="FZ13" s="11"/>
      <c r="GA13" s="13"/>
    </row>
    <row r="14" spans="1:183" s="45" customFormat="1" ht="24.75" customHeight="1">
      <c r="A14" s="55" t="s">
        <v>44</v>
      </c>
      <c r="B14" s="56">
        <v>40.8377</v>
      </c>
      <c r="C14" s="56">
        <v>23.5014</v>
      </c>
      <c r="D14" s="57" t="s">
        <v>39</v>
      </c>
      <c r="E14" s="55">
        <v>776</v>
      </c>
      <c r="F14" s="55" t="s">
        <v>11</v>
      </c>
      <c r="G14" s="55" t="s">
        <v>80</v>
      </c>
      <c r="H14" s="55">
        <v>2.88</v>
      </c>
      <c r="I14" s="55">
        <v>11.36</v>
      </c>
      <c r="J14" s="56">
        <v>0.154</v>
      </c>
      <c r="K14" s="58">
        <v>0.51273</v>
      </c>
      <c r="L14" s="58">
        <f>K14-J14*(EXP(0.00000000000654*776000000)-1)</f>
        <v>0.5119464572663878</v>
      </c>
      <c r="M14" s="59">
        <f>(L14/(0.512638-(0.1967*(EXP(0.00000000000654*776000000)-1)))-1)*10000</f>
        <v>6.0444203301091015</v>
      </c>
      <c r="N14" s="55">
        <v>1076</v>
      </c>
      <c r="O14" s="55">
        <v>780</v>
      </c>
      <c r="P14" s="55" t="s">
        <v>12</v>
      </c>
      <c r="Q14" s="14"/>
      <c r="R14" s="15"/>
      <c r="S14" s="16"/>
      <c r="T14" s="17"/>
      <c r="U14" s="11"/>
      <c r="V14" s="11"/>
      <c r="W14" s="13"/>
      <c r="X14" s="18"/>
      <c r="Y14" s="11"/>
      <c r="Z14" s="11"/>
      <c r="AA14" s="13"/>
      <c r="AB14" s="18"/>
      <c r="AC14" s="11"/>
      <c r="AD14" s="11"/>
      <c r="AE14" s="13"/>
      <c r="AF14" s="18"/>
      <c r="AG14" s="11"/>
      <c r="AH14" s="11"/>
      <c r="AI14" s="13"/>
      <c r="AJ14" s="18"/>
      <c r="AK14" s="11"/>
      <c r="AL14" s="11"/>
      <c r="AM14" s="13"/>
      <c r="AN14" s="18"/>
      <c r="AO14" s="11"/>
      <c r="AP14" s="11"/>
      <c r="AQ14" s="13"/>
      <c r="AR14" s="18"/>
      <c r="AS14" s="11"/>
      <c r="AT14" s="11"/>
      <c r="AU14" s="13"/>
      <c r="AV14" s="18"/>
      <c r="AW14" s="11"/>
      <c r="AX14" s="11"/>
      <c r="AY14" s="13"/>
      <c r="AZ14" s="18"/>
      <c r="BA14" s="11"/>
      <c r="BB14" s="11"/>
      <c r="BC14" s="13"/>
      <c r="BD14" s="18"/>
      <c r="BE14" s="11"/>
      <c r="BF14" s="11"/>
      <c r="BG14" s="13"/>
      <c r="BH14" s="18"/>
      <c r="BI14" s="11"/>
      <c r="BJ14" s="11"/>
      <c r="BK14" s="13"/>
      <c r="BL14" s="18"/>
      <c r="BM14" s="11"/>
      <c r="BN14" s="11"/>
      <c r="BO14" s="13"/>
      <c r="BP14" s="18"/>
      <c r="BQ14" s="11"/>
      <c r="BR14" s="11"/>
      <c r="BS14" s="13"/>
      <c r="BT14" s="18"/>
      <c r="BU14" s="11"/>
      <c r="BV14" s="11"/>
      <c r="BW14" s="13"/>
      <c r="BX14" s="18"/>
      <c r="BY14" s="11"/>
      <c r="BZ14" s="11"/>
      <c r="CA14" s="13"/>
      <c r="CB14" s="18"/>
      <c r="CC14" s="11"/>
      <c r="CD14" s="11"/>
      <c r="CE14" s="13"/>
      <c r="CF14" s="18"/>
      <c r="CG14" s="11"/>
      <c r="CH14" s="11"/>
      <c r="CI14" s="13"/>
      <c r="CJ14" s="18"/>
      <c r="CK14" s="11"/>
      <c r="CL14" s="11"/>
      <c r="CM14" s="13"/>
      <c r="CN14" s="18"/>
      <c r="CO14" s="11"/>
      <c r="CP14" s="11"/>
      <c r="CQ14" s="13"/>
      <c r="CR14" s="18"/>
      <c r="CS14" s="11"/>
      <c r="CT14" s="11"/>
      <c r="CU14" s="13"/>
      <c r="CV14" s="18"/>
      <c r="CW14" s="11"/>
      <c r="CX14" s="11"/>
      <c r="CY14" s="13"/>
      <c r="CZ14" s="18"/>
      <c r="DA14" s="11"/>
      <c r="DB14" s="11"/>
      <c r="DC14" s="13"/>
      <c r="DD14" s="18"/>
      <c r="DE14" s="11"/>
      <c r="DF14" s="11"/>
      <c r="DG14" s="13"/>
      <c r="DH14" s="18"/>
      <c r="DI14" s="11"/>
      <c r="DJ14" s="11"/>
      <c r="DK14" s="13"/>
      <c r="DL14" s="18"/>
      <c r="DM14" s="11"/>
      <c r="DN14" s="11"/>
      <c r="DO14" s="13"/>
      <c r="DP14" s="18"/>
      <c r="DQ14" s="11"/>
      <c r="DR14" s="11"/>
      <c r="DS14" s="13"/>
      <c r="DT14" s="18"/>
      <c r="DU14" s="11"/>
      <c r="DV14" s="11"/>
      <c r="DW14" s="13"/>
      <c r="DX14" s="18"/>
      <c r="DY14" s="11"/>
      <c r="DZ14" s="11"/>
      <c r="EA14" s="13"/>
      <c r="EB14" s="18"/>
      <c r="EC14" s="11"/>
      <c r="ED14" s="11"/>
      <c r="EE14" s="13"/>
      <c r="EF14" s="18"/>
      <c r="EG14" s="11"/>
      <c r="EH14" s="11"/>
      <c r="EI14" s="13"/>
      <c r="EJ14" s="18"/>
      <c r="EK14" s="11"/>
      <c r="EL14" s="11"/>
      <c r="EM14" s="13"/>
      <c r="EN14" s="18"/>
      <c r="EO14" s="11"/>
      <c r="EP14" s="11"/>
      <c r="EQ14" s="13"/>
      <c r="ER14" s="18"/>
      <c r="ES14" s="11"/>
      <c r="ET14" s="11"/>
      <c r="EU14" s="13"/>
      <c r="EV14" s="18"/>
      <c r="EW14" s="11"/>
      <c r="EX14" s="11"/>
      <c r="EY14" s="13"/>
      <c r="EZ14" s="18"/>
      <c r="FA14" s="11"/>
      <c r="FB14" s="11"/>
      <c r="FC14" s="13"/>
      <c r="FD14" s="18"/>
      <c r="FE14" s="11"/>
      <c r="FF14" s="11"/>
      <c r="FG14" s="13"/>
      <c r="FH14" s="18"/>
      <c r="FI14" s="11"/>
      <c r="FJ14" s="11"/>
      <c r="FK14" s="13"/>
      <c r="FL14" s="18"/>
      <c r="FM14" s="11"/>
      <c r="FN14" s="11"/>
      <c r="FO14" s="13"/>
      <c r="FP14" s="18"/>
      <c r="FQ14" s="11"/>
      <c r="FR14" s="11"/>
      <c r="FS14" s="13"/>
      <c r="FT14" s="18"/>
      <c r="FU14" s="11"/>
      <c r="FV14" s="11"/>
      <c r="FW14" s="13"/>
      <c r="FX14" s="18"/>
      <c r="FY14" s="11"/>
      <c r="FZ14" s="11"/>
      <c r="GA14" s="13"/>
    </row>
    <row r="15" spans="1:183" s="45" customFormat="1" ht="24.75" customHeight="1">
      <c r="A15" s="55" t="s">
        <v>45</v>
      </c>
      <c r="B15" s="56">
        <v>40.5561</v>
      </c>
      <c r="C15" s="56">
        <v>23.2423</v>
      </c>
      <c r="D15" s="57" t="s">
        <v>46</v>
      </c>
      <c r="E15" s="55">
        <v>776</v>
      </c>
      <c r="F15" s="55" t="s">
        <v>11</v>
      </c>
      <c r="G15" s="55" t="s">
        <v>80</v>
      </c>
      <c r="H15" s="55">
        <v>2.87</v>
      </c>
      <c r="I15" s="55">
        <v>10.39</v>
      </c>
      <c r="J15" s="56">
        <v>0.167</v>
      </c>
      <c r="K15" s="58">
        <v>0.512787</v>
      </c>
      <c r="L15" s="58">
        <f>K15-J15*(EXP(0.00000000000654*776000000)-1)</f>
        <v>0.5119373140486153</v>
      </c>
      <c r="M15" s="59">
        <f>(L15/(0.512638-(0.1967*(EXP(0.00000000000654*776000000)-1)))-1)*10000</f>
        <v>5.865715229453894</v>
      </c>
      <c r="N15" s="55"/>
      <c r="O15" s="55"/>
      <c r="P15" s="55" t="s">
        <v>12</v>
      </c>
      <c r="Q15" s="14"/>
      <c r="R15" s="15"/>
      <c r="S15" s="16"/>
      <c r="T15" s="17"/>
      <c r="U15" s="11"/>
      <c r="V15" s="11"/>
      <c r="W15" s="13"/>
      <c r="X15" s="18"/>
      <c r="Y15" s="11"/>
      <c r="Z15" s="11"/>
      <c r="AA15" s="13"/>
      <c r="AB15" s="18"/>
      <c r="AC15" s="11"/>
      <c r="AD15" s="11"/>
      <c r="AE15" s="13"/>
      <c r="AF15" s="18"/>
      <c r="AG15" s="11"/>
      <c r="AH15" s="11"/>
      <c r="AI15" s="13"/>
      <c r="AJ15" s="18"/>
      <c r="AK15" s="11"/>
      <c r="AL15" s="11"/>
      <c r="AM15" s="13"/>
      <c r="AN15" s="18"/>
      <c r="AO15" s="11"/>
      <c r="AP15" s="11"/>
      <c r="AQ15" s="13"/>
      <c r="AR15" s="18"/>
      <c r="AS15" s="11"/>
      <c r="AT15" s="11"/>
      <c r="AU15" s="13"/>
      <c r="AV15" s="18"/>
      <c r="AW15" s="11"/>
      <c r="AX15" s="11"/>
      <c r="AY15" s="13"/>
      <c r="AZ15" s="18"/>
      <c r="BA15" s="11"/>
      <c r="BB15" s="11"/>
      <c r="BC15" s="13"/>
      <c r="BD15" s="18"/>
      <c r="BE15" s="11"/>
      <c r="BF15" s="11"/>
      <c r="BG15" s="13"/>
      <c r="BH15" s="18"/>
      <c r="BI15" s="11"/>
      <c r="BJ15" s="11"/>
      <c r="BK15" s="13"/>
      <c r="BL15" s="18"/>
      <c r="BM15" s="11"/>
      <c r="BN15" s="11"/>
      <c r="BO15" s="13"/>
      <c r="BP15" s="18"/>
      <c r="BQ15" s="11"/>
      <c r="BR15" s="11"/>
      <c r="BS15" s="13"/>
      <c r="BT15" s="18"/>
      <c r="BU15" s="11"/>
      <c r="BV15" s="11"/>
      <c r="BW15" s="13"/>
      <c r="BX15" s="18"/>
      <c r="BY15" s="11"/>
      <c r="BZ15" s="11"/>
      <c r="CA15" s="13"/>
      <c r="CB15" s="18"/>
      <c r="CC15" s="11"/>
      <c r="CD15" s="11"/>
      <c r="CE15" s="13"/>
      <c r="CF15" s="18"/>
      <c r="CG15" s="11"/>
      <c r="CH15" s="11"/>
      <c r="CI15" s="13"/>
      <c r="CJ15" s="18"/>
      <c r="CK15" s="11"/>
      <c r="CL15" s="11"/>
      <c r="CM15" s="13"/>
      <c r="CN15" s="18"/>
      <c r="CO15" s="11"/>
      <c r="CP15" s="11"/>
      <c r="CQ15" s="13"/>
      <c r="CR15" s="18"/>
      <c r="CS15" s="11"/>
      <c r="CT15" s="11"/>
      <c r="CU15" s="13"/>
      <c r="CV15" s="18"/>
      <c r="CW15" s="11"/>
      <c r="CX15" s="11"/>
      <c r="CY15" s="13"/>
      <c r="CZ15" s="18"/>
      <c r="DA15" s="11"/>
      <c r="DB15" s="11"/>
      <c r="DC15" s="13"/>
      <c r="DD15" s="18"/>
      <c r="DE15" s="11"/>
      <c r="DF15" s="11"/>
      <c r="DG15" s="13"/>
      <c r="DH15" s="18"/>
      <c r="DI15" s="11"/>
      <c r="DJ15" s="11"/>
      <c r="DK15" s="13"/>
      <c r="DL15" s="18"/>
      <c r="DM15" s="11"/>
      <c r="DN15" s="11"/>
      <c r="DO15" s="13"/>
      <c r="DP15" s="18"/>
      <c r="DQ15" s="11"/>
      <c r="DR15" s="11"/>
      <c r="DS15" s="13"/>
      <c r="DT15" s="18"/>
      <c r="DU15" s="11"/>
      <c r="DV15" s="11"/>
      <c r="DW15" s="13"/>
      <c r="DX15" s="18"/>
      <c r="DY15" s="11"/>
      <c r="DZ15" s="11"/>
      <c r="EA15" s="13"/>
      <c r="EB15" s="18"/>
      <c r="EC15" s="11"/>
      <c r="ED15" s="11"/>
      <c r="EE15" s="13"/>
      <c r="EF15" s="18"/>
      <c r="EG15" s="11"/>
      <c r="EH15" s="11"/>
      <c r="EI15" s="13"/>
      <c r="EJ15" s="18"/>
      <c r="EK15" s="11"/>
      <c r="EL15" s="11"/>
      <c r="EM15" s="13"/>
      <c r="EN15" s="18"/>
      <c r="EO15" s="11"/>
      <c r="EP15" s="11"/>
      <c r="EQ15" s="13"/>
      <c r="ER15" s="18"/>
      <c r="ES15" s="11"/>
      <c r="ET15" s="11"/>
      <c r="EU15" s="13"/>
      <c r="EV15" s="18"/>
      <c r="EW15" s="11"/>
      <c r="EX15" s="11"/>
      <c r="EY15" s="13"/>
      <c r="EZ15" s="18"/>
      <c r="FA15" s="11"/>
      <c r="FB15" s="11"/>
      <c r="FC15" s="13"/>
      <c r="FD15" s="18"/>
      <c r="FE15" s="11"/>
      <c r="FF15" s="11"/>
      <c r="FG15" s="13"/>
      <c r="FH15" s="18"/>
      <c r="FI15" s="11"/>
      <c r="FJ15" s="11"/>
      <c r="FK15" s="13"/>
      <c r="FL15" s="18"/>
      <c r="FM15" s="11"/>
      <c r="FN15" s="11"/>
      <c r="FO15" s="13"/>
      <c r="FP15" s="18"/>
      <c r="FQ15" s="11"/>
      <c r="FR15" s="11"/>
      <c r="FS15" s="13"/>
      <c r="FT15" s="18"/>
      <c r="FU15" s="11"/>
      <c r="FV15" s="11"/>
      <c r="FW15" s="13"/>
      <c r="FX15" s="18"/>
      <c r="FY15" s="11"/>
      <c r="FZ15" s="11"/>
      <c r="GA15" s="13"/>
    </row>
    <row r="16" spans="1:183" s="45" customFormat="1" ht="24.75" customHeight="1">
      <c r="A16" s="55" t="s">
        <v>47</v>
      </c>
      <c r="B16" s="56">
        <v>40.9684</v>
      </c>
      <c r="C16" s="56">
        <v>23.8689</v>
      </c>
      <c r="D16" s="57" t="s">
        <v>48</v>
      </c>
      <c r="E16" s="55" t="s">
        <v>242</v>
      </c>
      <c r="F16" s="55" t="s">
        <v>11</v>
      </c>
      <c r="G16" s="55" t="s">
        <v>80</v>
      </c>
      <c r="H16" s="55">
        <v>8.07</v>
      </c>
      <c r="I16" s="55">
        <v>38.79</v>
      </c>
      <c r="J16" s="56">
        <v>0.126</v>
      </c>
      <c r="K16" s="58">
        <v>0.512559</v>
      </c>
      <c r="L16" s="58">
        <f>K16-J16*(EXP(0.00000000000654*573000000)-1)</f>
        <v>0.5120859392549568</v>
      </c>
      <c r="M16" s="59">
        <f>(L16/(0.512638-(0.1967*(EXP(0.00000000000654*573000000)-1)))-1)*10000</f>
        <v>3.642114134014829</v>
      </c>
      <c r="N16" s="55">
        <v>1030</v>
      </c>
      <c r="O16" s="55">
        <v>830</v>
      </c>
      <c r="P16" s="55" t="s">
        <v>12</v>
      </c>
      <c r="Q16" s="14"/>
      <c r="R16" s="15"/>
      <c r="S16" s="16"/>
      <c r="T16" s="17"/>
      <c r="U16" s="11"/>
      <c r="V16" s="11"/>
      <c r="W16" s="13"/>
      <c r="X16" s="18"/>
      <c r="Y16" s="11"/>
      <c r="Z16" s="11"/>
      <c r="AA16" s="13"/>
      <c r="AB16" s="18"/>
      <c r="AC16" s="11"/>
      <c r="AD16" s="11"/>
      <c r="AE16" s="13"/>
      <c r="AF16" s="18"/>
      <c r="AG16" s="11"/>
      <c r="AH16" s="11"/>
      <c r="AI16" s="13"/>
      <c r="AJ16" s="18"/>
      <c r="AK16" s="11"/>
      <c r="AL16" s="11"/>
      <c r="AM16" s="13"/>
      <c r="AN16" s="18"/>
      <c r="AO16" s="11"/>
      <c r="AP16" s="11"/>
      <c r="AQ16" s="13"/>
      <c r="AR16" s="18"/>
      <c r="AS16" s="11"/>
      <c r="AT16" s="11"/>
      <c r="AU16" s="13"/>
      <c r="AV16" s="18"/>
      <c r="AW16" s="11"/>
      <c r="AX16" s="11"/>
      <c r="AY16" s="13"/>
      <c r="AZ16" s="18"/>
      <c r="BA16" s="11"/>
      <c r="BB16" s="11"/>
      <c r="BC16" s="13"/>
      <c r="BD16" s="18"/>
      <c r="BE16" s="11"/>
      <c r="BF16" s="11"/>
      <c r="BG16" s="13"/>
      <c r="BH16" s="18"/>
      <c r="BI16" s="11"/>
      <c r="BJ16" s="11"/>
      <c r="BK16" s="13"/>
      <c r="BL16" s="18"/>
      <c r="BM16" s="11"/>
      <c r="BN16" s="11"/>
      <c r="BO16" s="13"/>
      <c r="BP16" s="18"/>
      <c r="BQ16" s="11"/>
      <c r="BR16" s="11"/>
      <c r="BS16" s="13"/>
      <c r="BT16" s="18"/>
      <c r="BU16" s="11"/>
      <c r="BV16" s="11"/>
      <c r="BW16" s="13"/>
      <c r="BX16" s="18"/>
      <c r="BY16" s="11"/>
      <c r="BZ16" s="11"/>
      <c r="CA16" s="13"/>
      <c r="CB16" s="18"/>
      <c r="CC16" s="11"/>
      <c r="CD16" s="11"/>
      <c r="CE16" s="13"/>
      <c r="CF16" s="18"/>
      <c r="CG16" s="11"/>
      <c r="CH16" s="11"/>
      <c r="CI16" s="13"/>
      <c r="CJ16" s="18"/>
      <c r="CK16" s="11"/>
      <c r="CL16" s="11"/>
      <c r="CM16" s="13"/>
      <c r="CN16" s="18"/>
      <c r="CO16" s="11"/>
      <c r="CP16" s="11"/>
      <c r="CQ16" s="13"/>
      <c r="CR16" s="18"/>
      <c r="CS16" s="11"/>
      <c r="CT16" s="11"/>
      <c r="CU16" s="13"/>
      <c r="CV16" s="18"/>
      <c r="CW16" s="11"/>
      <c r="CX16" s="11"/>
      <c r="CY16" s="13"/>
      <c r="CZ16" s="18"/>
      <c r="DA16" s="11"/>
      <c r="DB16" s="11"/>
      <c r="DC16" s="13"/>
      <c r="DD16" s="18"/>
      <c r="DE16" s="11"/>
      <c r="DF16" s="11"/>
      <c r="DG16" s="13"/>
      <c r="DH16" s="18"/>
      <c r="DI16" s="11"/>
      <c r="DJ16" s="11"/>
      <c r="DK16" s="13"/>
      <c r="DL16" s="18"/>
      <c r="DM16" s="11"/>
      <c r="DN16" s="11"/>
      <c r="DO16" s="13"/>
      <c r="DP16" s="18"/>
      <c r="DQ16" s="11"/>
      <c r="DR16" s="11"/>
      <c r="DS16" s="13"/>
      <c r="DT16" s="18"/>
      <c r="DU16" s="11"/>
      <c r="DV16" s="11"/>
      <c r="DW16" s="13"/>
      <c r="DX16" s="18"/>
      <c r="DY16" s="11"/>
      <c r="DZ16" s="11"/>
      <c r="EA16" s="13"/>
      <c r="EB16" s="18"/>
      <c r="EC16" s="11"/>
      <c r="ED16" s="11"/>
      <c r="EE16" s="13"/>
      <c r="EF16" s="18"/>
      <c r="EG16" s="11"/>
      <c r="EH16" s="11"/>
      <c r="EI16" s="13"/>
      <c r="EJ16" s="18"/>
      <c r="EK16" s="11"/>
      <c r="EL16" s="11"/>
      <c r="EM16" s="13"/>
      <c r="EN16" s="18"/>
      <c r="EO16" s="11"/>
      <c r="EP16" s="11"/>
      <c r="EQ16" s="13"/>
      <c r="ER16" s="18"/>
      <c r="ES16" s="11"/>
      <c r="ET16" s="11"/>
      <c r="EU16" s="13"/>
      <c r="EV16" s="18"/>
      <c r="EW16" s="11"/>
      <c r="EX16" s="11"/>
      <c r="EY16" s="13"/>
      <c r="EZ16" s="18"/>
      <c r="FA16" s="11"/>
      <c r="FB16" s="11"/>
      <c r="FC16" s="13"/>
      <c r="FD16" s="18"/>
      <c r="FE16" s="11"/>
      <c r="FF16" s="11"/>
      <c r="FG16" s="13"/>
      <c r="FH16" s="18"/>
      <c r="FI16" s="11"/>
      <c r="FJ16" s="11"/>
      <c r="FK16" s="13"/>
      <c r="FL16" s="18"/>
      <c r="FM16" s="11"/>
      <c r="FN16" s="11"/>
      <c r="FO16" s="13"/>
      <c r="FP16" s="18"/>
      <c r="FQ16" s="11"/>
      <c r="FR16" s="11"/>
      <c r="FS16" s="13"/>
      <c r="FT16" s="18"/>
      <c r="FU16" s="11"/>
      <c r="FV16" s="11"/>
      <c r="FW16" s="13"/>
      <c r="FX16" s="18"/>
      <c r="FY16" s="11"/>
      <c r="FZ16" s="11"/>
      <c r="GA16" s="13"/>
    </row>
    <row r="17" spans="1:183" s="45" customFormat="1" ht="24.75" customHeight="1">
      <c r="A17" s="55" t="s">
        <v>49</v>
      </c>
      <c r="B17" s="56">
        <v>40.6661</v>
      </c>
      <c r="C17" s="56">
        <v>23.4578</v>
      </c>
      <c r="D17" s="57" t="s">
        <v>50</v>
      </c>
      <c r="E17" s="55" t="s">
        <v>51</v>
      </c>
      <c r="F17" s="55" t="s">
        <v>11</v>
      </c>
      <c r="G17" s="55" t="s">
        <v>80</v>
      </c>
      <c r="H17" s="55">
        <v>6.53</v>
      </c>
      <c r="I17" s="55">
        <v>30.28</v>
      </c>
      <c r="J17" s="56">
        <v>0.13</v>
      </c>
      <c r="K17" s="58">
        <v>0.512734</v>
      </c>
      <c r="L17" s="58">
        <f>K17-J17*(EXP(0.00000000000654*749000000)-1)</f>
        <v>0.5120956379810451</v>
      </c>
      <c r="M17" s="59">
        <f>(L17/(0.512638-(0.1967*(EXP(0.00000000000654*749000000)-1)))-1)*10000</f>
        <v>8.27734818669823</v>
      </c>
      <c r="N17" s="55">
        <v>761</v>
      </c>
      <c r="O17" s="55">
        <v>560</v>
      </c>
      <c r="P17" s="55" t="s">
        <v>12</v>
      </c>
      <c r="Q17" s="14"/>
      <c r="R17" s="15"/>
      <c r="S17" s="16"/>
      <c r="T17" s="17"/>
      <c r="U17" s="11"/>
      <c r="V17" s="11"/>
      <c r="W17" s="13"/>
      <c r="X17" s="18"/>
      <c r="Y17" s="11"/>
      <c r="Z17" s="11"/>
      <c r="AA17" s="13"/>
      <c r="AB17" s="18"/>
      <c r="AC17" s="11"/>
      <c r="AD17" s="11"/>
      <c r="AE17" s="13"/>
      <c r="AF17" s="18"/>
      <c r="AG17" s="11"/>
      <c r="AH17" s="11"/>
      <c r="AI17" s="13"/>
      <c r="AJ17" s="18"/>
      <c r="AK17" s="11"/>
      <c r="AL17" s="11"/>
      <c r="AM17" s="13"/>
      <c r="AN17" s="18"/>
      <c r="AO17" s="11"/>
      <c r="AP17" s="11"/>
      <c r="AQ17" s="13"/>
      <c r="AR17" s="18"/>
      <c r="AS17" s="11"/>
      <c r="AT17" s="11"/>
      <c r="AU17" s="13"/>
      <c r="AV17" s="18"/>
      <c r="AW17" s="11"/>
      <c r="AX17" s="11"/>
      <c r="AY17" s="13"/>
      <c r="AZ17" s="18"/>
      <c r="BA17" s="11"/>
      <c r="BB17" s="11"/>
      <c r="BC17" s="13"/>
      <c r="BD17" s="18"/>
      <c r="BE17" s="11"/>
      <c r="BF17" s="11"/>
      <c r="BG17" s="13"/>
      <c r="BH17" s="18"/>
      <c r="BI17" s="11"/>
      <c r="BJ17" s="11"/>
      <c r="BK17" s="13"/>
      <c r="BL17" s="18"/>
      <c r="BM17" s="11"/>
      <c r="BN17" s="11"/>
      <c r="BO17" s="13"/>
      <c r="BP17" s="18"/>
      <c r="BQ17" s="11"/>
      <c r="BR17" s="11"/>
      <c r="BS17" s="13"/>
      <c r="BT17" s="18"/>
      <c r="BU17" s="11"/>
      <c r="BV17" s="11"/>
      <c r="BW17" s="13"/>
      <c r="BX17" s="18"/>
      <c r="BY17" s="11"/>
      <c r="BZ17" s="11"/>
      <c r="CA17" s="13"/>
      <c r="CB17" s="18"/>
      <c r="CC17" s="11"/>
      <c r="CD17" s="11"/>
      <c r="CE17" s="13"/>
      <c r="CF17" s="18"/>
      <c r="CG17" s="11"/>
      <c r="CH17" s="11"/>
      <c r="CI17" s="13"/>
      <c r="CJ17" s="18"/>
      <c r="CK17" s="11"/>
      <c r="CL17" s="11"/>
      <c r="CM17" s="13"/>
      <c r="CN17" s="18"/>
      <c r="CO17" s="11"/>
      <c r="CP17" s="11"/>
      <c r="CQ17" s="13"/>
      <c r="CR17" s="18"/>
      <c r="CS17" s="11"/>
      <c r="CT17" s="11"/>
      <c r="CU17" s="13"/>
      <c r="CV17" s="18"/>
      <c r="CW17" s="11"/>
      <c r="CX17" s="11"/>
      <c r="CY17" s="13"/>
      <c r="CZ17" s="18"/>
      <c r="DA17" s="11"/>
      <c r="DB17" s="11"/>
      <c r="DC17" s="13"/>
      <c r="DD17" s="18"/>
      <c r="DE17" s="11"/>
      <c r="DF17" s="11"/>
      <c r="DG17" s="13"/>
      <c r="DH17" s="18"/>
      <c r="DI17" s="11"/>
      <c r="DJ17" s="11"/>
      <c r="DK17" s="13"/>
      <c r="DL17" s="18"/>
      <c r="DM17" s="11"/>
      <c r="DN17" s="11"/>
      <c r="DO17" s="13"/>
      <c r="DP17" s="18"/>
      <c r="DQ17" s="11"/>
      <c r="DR17" s="11"/>
      <c r="DS17" s="13"/>
      <c r="DT17" s="18"/>
      <c r="DU17" s="11"/>
      <c r="DV17" s="11"/>
      <c r="DW17" s="13"/>
      <c r="DX17" s="18"/>
      <c r="DY17" s="11"/>
      <c r="DZ17" s="11"/>
      <c r="EA17" s="13"/>
      <c r="EB17" s="18"/>
      <c r="EC17" s="11"/>
      <c r="ED17" s="11"/>
      <c r="EE17" s="13"/>
      <c r="EF17" s="18"/>
      <c r="EG17" s="11"/>
      <c r="EH17" s="11"/>
      <c r="EI17" s="13"/>
      <c r="EJ17" s="18"/>
      <c r="EK17" s="11"/>
      <c r="EL17" s="11"/>
      <c r="EM17" s="13"/>
      <c r="EN17" s="18"/>
      <c r="EO17" s="11"/>
      <c r="EP17" s="11"/>
      <c r="EQ17" s="13"/>
      <c r="ER17" s="18"/>
      <c r="ES17" s="11"/>
      <c r="ET17" s="11"/>
      <c r="EU17" s="13"/>
      <c r="EV17" s="18"/>
      <c r="EW17" s="11"/>
      <c r="EX17" s="11"/>
      <c r="EY17" s="13"/>
      <c r="EZ17" s="18"/>
      <c r="FA17" s="11"/>
      <c r="FB17" s="11"/>
      <c r="FC17" s="13"/>
      <c r="FD17" s="18"/>
      <c r="FE17" s="11"/>
      <c r="FF17" s="11"/>
      <c r="FG17" s="13"/>
      <c r="FH17" s="18"/>
      <c r="FI17" s="11"/>
      <c r="FJ17" s="11"/>
      <c r="FK17" s="13"/>
      <c r="FL17" s="18"/>
      <c r="FM17" s="11"/>
      <c r="FN17" s="11"/>
      <c r="FO17" s="13"/>
      <c r="FP17" s="18"/>
      <c r="FQ17" s="11"/>
      <c r="FR17" s="11"/>
      <c r="FS17" s="13"/>
      <c r="FT17" s="18"/>
      <c r="FU17" s="11"/>
      <c r="FV17" s="11"/>
      <c r="FW17" s="13"/>
      <c r="FX17" s="18"/>
      <c r="FY17" s="11"/>
      <c r="FZ17" s="11"/>
      <c r="GA17" s="13"/>
    </row>
    <row r="18" spans="1:183" s="45" customFormat="1" ht="24.75" customHeight="1">
      <c r="A18" s="55" t="s">
        <v>52</v>
      </c>
      <c r="B18" s="56">
        <v>40.8162</v>
      </c>
      <c r="C18" s="56">
        <v>23.4154</v>
      </c>
      <c r="D18" s="57" t="s">
        <v>53</v>
      </c>
      <c r="E18" s="55" t="s">
        <v>54</v>
      </c>
      <c r="F18" s="55" t="s">
        <v>11</v>
      </c>
      <c r="G18" s="55" t="s">
        <v>80</v>
      </c>
      <c r="H18" s="55">
        <v>0.49</v>
      </c>
      <c r="I18" s="55">
        <v>2.58</v>
      </c>
      <c r="J18" s="56">
        <v>0.116</v>
      </c>
      <c r="K18" s="58">
        <v>0.512527</v>
      </c>
      <c r="L18" s="58">
        <f>K18-J18*(EXP(0.00000000000654*803000000)-1)</f>
        <v>0.5119162096644032</v>
      </c>
      <c r="M18" s="59">
        <f>(L18/(0.512638-(0.1967*(EXP(0.00000000000654*803000000)-1)))-1)*10000</f>
        <v>6.136026452845389</v>
      </c>
      <c r="N18" s="55">
        <v>974</v>
      </c>
      <c r="O18" s="55">
        <v>790</v>
      </c>
      <c r="P18" s="55" t="s">
        <v>12</v>
      </c>
      <c r="Q18" s="14"/>
      <c r="R18" s="15"/>
      <c r="S18" s="16"/>
      <c r="T18" s="17"/>
      <c r="U18" s="11"/>
      <c r="V18" s="11"/>
      <c r="W18" s="13"/>
      <c r="X18" s="18"/>
      <c r="Y18" s="11"/>
      <c r="Z18" s="11"/>
      <c r="AA18" s="13"/>
      <c r="AB18" s="18"/>
      <c r="AC18" s="11"/>
      <c r="AD18" s="11"/>
      <c r="AE18" s="13"/>
      <c r="AF18" s="18"/>
      <c r="AG18" s="11"/>
      <c r="AH18" s="11"/>
      <c r="AI18" s="13"/>
      <c r="AJ18" s="18"/>
      <c r="AK18" s="11"/>
      <c r="AL18" s="11"/>
      <c r="AM18" s="13"/>
      <c r="AN18" s="18"/>
      <c r="AO18" s="11"/>
      <c r="AP18" s="11"/>
      <c r="AQ18" s="13"/>
      <c r="AR18" s="18"/>
      <c r="AS18" s="11"/>
      <c r="AT18" s="11"/>
      <c r="AU18" s="13"/>
      <c r="AV18" s="18"/>
      <c r="AW18" s="11"/>
      <c r="AX18" s="11"/>
      <c r="AY18" s="13"/>
      <c r="AZ18" s="18"/>
      <c r="BA18" s="11"/>
      <c r="BB18" s="11"/>
      <c r="BC18" s="13"/>
      <c r="BD18" s="18"/>
      <c r="BE18" s="11"/>
      <c r="BF18" s="11"/>
      <c r="BG18" s="13"/>
      <c r="BH18" s="18"/>
      <c r="BI18" s="11"/>
      <c r="BJ18" s="11"/>
      <c r="BK18" s="13"/>
      <c r="BL18" s="18"/>
      <c r="BM18" s="11"/>
      <c r="BN18" s="11"/>
      <c r="BO18" s="13"/>
      <c r="BP18" s="18"/>
      <c r="BQ18" s="11"/>
      <c r="BR18" s="11"/>
      <c r="BS18" s="13"/>
      <c r="BT18" s="18"/>
      <c r="BU18" s="11"/>
      <c r="BV18" s="11"/>
      <c r="BW18" s="13"/>
      <c r="BX18" s="18"/>
      <c r="BY18" s="11"/>
      <c r="BZ18" s="11"/>
      <c r="CA18" s="13"/>
      <c r="CB18" s="18"/>
      <c r="CC18" s="11"/>
      <c r="CD18" s="11"/>
      <c r="CE18" s="13"/>
      <c r="CF18" s="18"/>
      <c r="CG18" s="11"/>
      <c r="CH18" s="11"/>
      <c r="CI18" s="13"/>
      <c r="CJ18" s="18"/>
      <c r="CK18" s="11"/>
      <c r="CL18" s="11"/>
      <c r="CM18" s="13"/>
      <c r="CN18" s="18"/>
      <c r="CO18" s="11"/>
      <c r="CP18" s="11"/>
      <c r="CQ18" s="13"/>
      <c r="CR18" s="18"/>
      <c r="CS18" s="11"/>
      <c r="CT18" s="11"/>
      <c r="CU18" s="13"/>
      <c r="CV18" s="18"/>
      <c r="CW18" s="11"/>
      <c r="CX18" s="11"/>
      <c r="CY18" s="13"/>
      <c r="CZ18" s="18"/>
      <c r="DA18" s="11"/>
      <c r="DB18" s="11"/>
      <c r="DC18" s="13"/>
      <c r="DD18" s="18"/>
      <c r="DE18" s="11"/>
      <c r="DF18" s="11"/>
      <c r="DG18" s="13"/>
      <c r="DH18" s="18"/>
      <c r="DI18" s="11"/>
      <c r="DJ18" s="11"/>
      <c r="DK18" s="13"/>
      <c r="DL18" s="18"/>
      <c r="DM18" s="11"/>
      <c r="DN18" s="11"/>
      <c r="DO18" s="13"/>
      <c r="DP18" s="18"/>
      <c r="DQ18" s="11"/>
      <c r="DR18" s="11"/>
      <c r="DS18" s="13"/>
      <c r="DT18" s="18"/>
      <c r="DU18" s="11"/>
      <c r="DV18" s="11"/>
      <c r="DW18" s="13"/>
      <c r="DX18" s="18"/>
      <c r="DY18" s="11"/>
      <c r="DZ18" s="11"/>
      <c r="EA18" s="13"/>
      <c r="EB18" s="18"/>
      <c r="EC18" s="11"/>
      <c r="ED18" s="11"/>
      <c r="EE18" s="13"/>
      <c r="EF18" s="18"/>
      <c r="EG18" s="11"/>
      <c r="EH18" s="11"/>
      <c r="EI18" s="13"/>
      <c r="EJ18" s="18"/>
      <c r="EK18" s="11"/>
      <c r="EL18" s="11"/>
      <c r="EM18" s="13"/>
      <c r="EN18" s="18"/>
      <c r="EO18" s="11"/>
      <c r="EP18" s="11"/>
      <c r="EQ18" s="13"/>
      <c r="ER18" s="18"/>
      <c r="ES18" s="11"/>
      <c r="ET18" s="11"/>
      <c r="EU18" s="13"/>
      <c r="EV18" s="18"/>
      <c r="EW18" s="11"/>
      <c r="EX18" s="11"/>
      <c r="EY18" s="13"/>
      <c r="EZ18" s="18"/>
      <c r="FA18" s="11"/>
      <c r="FB18" s="11"/>
      <c r="FC18" s="13"/>
      <c r="FD18" s="18"/>
      <c r="FE18" s="11"/>
      <c r="FF18" s="11"/>
      <c r="FG18" s="13"/>
      <c r="FH18" s="18"/>
      <c r="FI18" s="11"/>
      <c r="FJ18" s="11"/>
      <c r="FK18" s="13"/>
      <c r="FL18" s="18"/>
      <c r="FM18" s="11"/>
      <c r="FN18" s="11"/>
      <c r="FO18" s="13"/>
      <c r="FP18" s="18"/>
      <c r="FQ18" s="11"/>
      <c r="FR18" s="11"/>
      <c r="FS18" s="13"/>
      <c r="FT18" s="18"/>
      <c r="FU18" s="11"/>
      <c r="FV18" s="11"/>
      <c r="FW18" s="13"/>
      <c r="FX18" s="18"/>
      <c r="FY18" s="11"/>
      <c r="FZ18" s="11"/>
      <c r="GA18" s="13"/>
    </row>
    <row r="19" spans="1:183" s="45" customFormat="1" ht="24.75" customHeight="1">
      <c r="A19" s="55" t="s">
        <v>55</v>
      </c>
      <c r="B19" s="56">
        <v>40.8162</v>
      </c>
      <c r="C19" s="56">
        <v>23.4154</v>
      </c>
      <c r="D19" s="57" t="s">
        <v>39</v>
      </c>
      <c r="E19" s="55" t="s">
        <v>56</v>
      </c>
      <c r="F19" s="55" t="s">
        <v>11</v>
      </c>
      <c r="G19" s="55" t="s">
        <v>80</v>
      </c>
      <c r="H19" s="61">
        <v>10</v>
      </c>
      <c r="I19" s="55">
        <v>35.8</v>
      </c>
      <c r="J19" s="56">
        <v>0.169</v>
      </c>
      <c r="K19" s="58">
        <v>0.512799</v>
      </c>
      <c r="L19" s="58">
        <f>K19-J19*(EXP(0.00000000000654*771000000)-1)</f>
        <v>0.5119446924956261</v>
      </c>
      <c r="M19" s="59">
        <f>(L19/(0.512638-(0.1967*(EXP(0.00000000000654*771000000)-1)))-1)*10000</f>
        <v>5.883499962584526</v>
      </c>
      <c r="N19" s="55"/>
      <c r="O19" s="55"/>
      <c r="P19" s="55" t="s">
        <v>12</v>
      </c>
      <c r="Q19" s="14"/>
      <c r="R19" s="15"/>
      <c r="S19" s="16"/>
      <c r="T19" s="17"/>
      <c r="U19" s="11"/>
      <c r="V19" s="11"/>
      <c r="W19" s="13"/>
      <c r="X19" s="18"/>
      <c r="Y19" s="11"/>
      <c r="Z19" s="11"/>
      <c r="AA19" s="13"/>
      <c r="AB19" s="18"/>
      <c r="AC19" s="11"/>
      <c r="AD19" s="11"/>
      <c r="AE19" s="13"/>
      <c r="AF19" s="18"/>
      <c r="AG19" s="11"/>
      <c r="AH19" s="11"/>
      <c r="AI19" s="13"/>
      <c r="AJ19" s="18"/>
      <c r="AK19" s="11"/>
      <c r="AL19" s="11"/>
      <c r="AM19" s="13"/>
      <c r="AN19" s="18"/>
      <c r="AO19" s="11"/>
      <c r="AP19" s="11"/>
      <c r="AQ19" s="13"/>
      <c r="AR19" s="18"/>
      <c r="AS19" s="11"/>
      <c r="AT19" s="11"/>
      <c r="AU19" s="13"/>
      <c r="AV19" s="18"/>
      <c r="AW19" s="11"/>
      <c r="AX19" s="11"/>
      <c r="AY19" s="13"/>
      <c r="AZ19" s="18"/>
      <c r="BA19" s="11"/>
      <c r="BB19" s="11"/>
      <c r="BC19" s="13"/>
      <c r="BD19" s="18"/>
      <c r="BE19" s="11"/>
      <c r="BF19" s="11"/>
      <c r="BG19" s="13"/>
      <c r="BH19" s="18"/>
      <c r="BI19" s="11"/>
      <c r="BJ19" s="11"/>
      <c r="BK19" s="13"/>
      <c r="BL19" s="18"/>
      <c r="BM19" s="11"/>
      <c r="BN19" s="11"/>
      <c r="BO19" s="13"/>
      <c r="BP19" s="18"/>
      <c r="BQ19" s="11"/>
      <c r="BR19" s="11"/>
      <c r="BS19" s="13"/>
      <c r="BT19" s="18"/>
      <c r="BU19" s="11"/>
      <c r="BV19" s="11"/>
      <c r="BW19" s="13"/>
      <c r="BX19" s="18"/>
      <c r="BY19" s="11"/>
      <c r="BZ19" s="11"/>
      <c r="CA19" s="13"/>
      <c r="CB19" s="18"/>
      <c r="CC19" s="11"/>
      <c r="CD19" s="11"/>
      <c r="CE19" s="13"/>
      <c r="CF19" s="18"/>
      <c r="CG19" s="11"/>
      <c r="CH19" s="11"/>
      <c r="CI19" s="13"/>
      <c r="CJ19" s="18"/>
      <c r="CK19" s="11"/>
      <c r="CL19" s="11"/>
      <c r="CM19" s="13"/>
      <c r="CN19" s="18"/>
      <c r="CO19" s="11"/>
      <c r="CP19" s="11"/>
      <c r="CQ19" s="13"/>
      <c r="CR19" s="18"/>
      <c r="CS19" s="11"/>
      <c r="CT19" s="11"/>
      <c r="CU19" s="13"/>
      <c r="CV19" s="18"/>
      <c r="CW19" s="11"/>
      <c r="CX19" s="11"/>
      <c r="CY19" s="13"/>
      <c r="CZ19" s="18"/>
      <c r="DA19" s="11"/>
      <c r="DB19" s="11"/>
      <c r="DC19" s="13"/>
      <c r="DD19" s="18"/>
      <c r="DE19" s="11"/>
      <c r="DF19" s="11"/>
      <c r="DG19" s="13"/>
      <c r="DH19" s="18"/>
      <c r="DI19" s="11"/>
      <c r="DJ19" s="11"/>
      <c r="DK19" s="13"/>
      <c r="DL19" s="18"/>
      <c r="DM19" s="11"/>
      <c r="DN19" s="11"/>
      <c r="DO19" s="13"/>
      <c r="DP19" s="18"/>
      <c r="DQ19" s="11"/>
      <c r="DR19" s="11"/>
      <c r="DS19" s="13"/>
      <c r="DT19" s="18"/>
      <c r="DU19" s="11"/>
      <c r="DV19" s="11"/>
      <c r="DW19" s="13"/>
      <c r="DX19" s="18"/>
      <c r="DY19" s="11"/>
      <c r="DZ19" s="11"/>
      <c r="EA19" s="13"/>
      <c r="EB19" s="18"/>
      <c r="EC19" s="11"/>
      <c r="ED19" s="11"/>
      <c r="EE19" s="13"/>
      <c r="EF19" s="18"/>
      <c r="EG19" s="11"/>
      <c r="EH19" s="11"/>
      <c r="EI19" s="13"/>
      <c r="EJ19" s="18"/>
      <c r="EK19" s="11"/>
      <c r="EL19" s="11"/>
      <c r="EM19" s="13"/>
      <c r="EN19" s="18"/>
      <c r="EO19" s="11"/>
      <c r="EP19" s="11"/>
      <c r="EQ19" s="13"/>
      <c r="ER19" s="18"/>
      <c r="ES19" s="11"/>
      <c r="ET19" s="11"/>
      <c r="EU19" s="13"/>
      <c r="EV19" s="18"/>
      <c r="EW19" s="11"/>
      <c r="EX19" s="11"/>
      <c r="EY19" s="13"/>
      <c r="EZ19" s="18"/>
      <c r="FA19" s="11"/>
      <c r="FB19" s="11"/>
      <c r="FC19" s="13"/>
      <c r="FD19" s="18"/>
      <c r="FE19" s="11"/>
      <c r="FF19" s="11"/>
      <c r="FG19" s="13"/>
      <c r="FH19" s="18"/>
      <c r="FI19" s="11"/>
      <c r="FJ19" s="11"/>
      <c r="FK19" s="13"/>
      <c r="FL19" s="18"/>
      <c r="FM19" s="11"/>
      <c r="FN19" s="11"/>
      <c r="FO19" s="13"/>
      <c r="FP19" s="18"/>
      <c r="FQ19" s="11"/>
      <c r="FR19" s="11"/>
      <c r="FS19" s="13"/>
      <c r="FT19" s="18"/>
      <c r="FU19" s="11"/>
      <c r="FV19" s="11"/>
      <c r="FW19" s="13"/>
      <c r="FX19" s="18"/>
      <c r="FY19" s="11"/>
      <c r="FZ19" s="11"/>
      <c r="GA19" s="13"/>
    </row>
    <row r="20" spans="1:183" s="45" customFormat="1" ht="24.75" customHeight="1">
      <c r="A20" s="55" t="s">
        <v>57</v>
      </c>
      <c r="B20" s="56">
        <v>40.9256</v>
      </c>
      <c r="C20" s="56">
        <v>23.477</v>
      </c>
      <c r="D20" s="57" t="s">
        <v>58</v>
      </c>
      <c r="E20" s="55" t="s">
        <v>59</v>
      </c>
      <c r="F20" s="55" t="s">
        <v>11</v>
      </c>
      <c r="G20" s="55" t="s">
        <v>80</v>
      </c>
      <c r="H20" s="55">
        <v>2.54</v>
      </c>
      <c r="I20" s="55">
        <v>12</v>
      </c>
      <c r="J20" s="56">
        <v>0.128</v>
      </c>
      <c r="K20" s="58">
        <v>0.512642</v>
      </c>
      <c r="L20" s="58">
        <f>K20-J20*(EXP(0.00000000000654*776000000)-1)</f>
        <v>0.5119907437019328</v>
      </c>
      <c r="M20" s="59">
        <f>(L20/(0.512638-(0.1967*(EXP(0.00000000000654*776000000)-1)))-1)*10000</f>
        <v>6.910003117119867</v>
      </c>
      <c r="N20" s="55">
        <v>906</v>
      </c>
      <c r="O20" s="55">
        <v>710</v>
      </c>
      <c r="P20" s="55" t="s">
        <v>12</v>
      </c>
      <c r="Q20" s="14"/>
      <c r="R20" s="15"/>
      <c r="S20" s="16"/>
      <c r="T20" s="17"/>
      <c r="U20" s="11"/>
      <c r="V20" s="11"/>
      <c r="W20" s="13"/>
      <c r="X20" s="18"/>
      <c r="Y20" s="11"/>
      <c r="Z20" s="11"/>
      <c r="AA20" s="13"/>
      <c r="AB20" s="18"/>
      <c r="AC20" s="11"/>
      <c r="AD20" s="11"/>
      <c r="AE20" s="13"/>
      <c r="AF20" s="18"/>
      <c r="AG20" s="11"/>
      <c r="AH20" s="11"/>
      <c r="AI20" s="13"/>
      <c r="AJ20" s="18"/>
      <c r="AK20" s="11"/>
      <c r="AL20" s="11"/>
      <c r="AM20" s="13"/>
      <c r="AN20" s="18"/>
      <c r="AO20" s="11"/>
      <c r="AP20" s="11"/>
      <c r="AQ20" s="13"/>
      <c r="AR20" s="18"/>
      <c r="AS20" s="11"/>
      <c r="AT20" s="11"/>
      <c r="AU20" s="13"/>
      <c r="AV20" s="18"/>
      <c r="AW20" s="11"/>
      <c r="AX20" s="11"/>
      <c r="AY20" s="13"/>
      <c r="AZ20" s="18"/>
      <c r="BA20" s="11"/>
      <c r="BB20" s="11"/>
      <c r="BC20" s="13"/>
      <c r="BD20" s="18"/>
      <c r="BE20" s="11"/>
      <c r="BF20" s="11"/>
      <c r="BG20" s="13"/>
      <c r="BH20" s="18"/>
      <c r="BI20" s="11"/>
      <c r="BJ20" s="11"/>
      <c r="BK20" s="13"/>
      <c r="BL20" s="18"/>
      <c r="BM20" s="11"/>
      <c r="BN20" s="11"/>
      <c r="BO20" s="13"/>
      <c r="BP20" s="18"/>
      <c r="BQ20" s="11"/>
      <c r="BR20" s="11"/>
      <c r="BS20" s="13"/>
      <c r="BT20" s="18"/>
      <c r="BU20" s="11"/>
      <c r="BV20" s="11"/>
      <c r="BW20" s="13"/>
      <c r="BX20" s="18"/>
      <c r="BY20" s="11"/>
      <c r="BZ20" s="11"/>
      <c r="CA20" s="13"/>
      <c r="CB20" s="18"/>
      <c r="CC20" s="11"/>
      <c r="CD20" s="11"/>
      <c r="CE20" s="13"/>
      <c r="CF20" s="18"/>
      <c r="CG20" s="11"/>
      <c r="CH20" s="11"/>
      <c r="CI20" s="13"/>
      <c r="CJ20" s="18"/>
      <c r="CK20" s="11"/>
      <c r="CL20" s="11"/>
      <c r="CM20" s="13"/>
      <c r="CN20" s="18"/>
      <c r="CO20" s="11"/>
      <c r="CP20" s="11"/>
      <c r="CQ20" s="13"/>
      <c r="CR20" s="18"/>
      <c r="CS20" s="11"/>
      <c r="CT20" s="11"/>
      <c r="CU20" s="13"/>
      <c r="CV20" s="18"/>
      <c r="CW20" s="11"/>
      <c r="CX20" s="11"/>
      <c r="CY20" s="13"/>
      <c r="CZ20" s="18"/>
      <c r="DA20" s="11"/>
      <c r="DB20" s="11"/>
      <c r="DC20" s="13"/>
      <c r="DD20" s="18"/>
      <c r="DE20" s="11"/>
      <c r="DF20" s="11"/>
      <c r="DG20" s="13"/>
      <c r="DH20" s="18"/>
      <c r="DI20" s="11"/>
      <c r="DJ20" s="11"/>
      <c r="DK20" s="13"/>
      <c r="DL20" s="18"/>
      <c r="DM20" s="11"/>
      <c r="DN20" s="11"/>
      <c r="DO20" s="13"/>
      <c r="DP20" s="18"/>
      <c r="DQ20" s="11"/>
      <c r="DR20" s="11"/>
      <c r="DS20" s="13"/>
      <c r="DT20" s="18"/>
      <c r="DU20" s="11"/>
      <c r="DV20" s="11"/>
      <c r="DW20" s="13"/>
      <c r="DX20" s="18"/>
      <c r="DY20" s="11"/>
      <c r="DZ20" s="11"/>
      <c r="EA20" s="13"/>
      <c r="EB20" s="18"/>
      <c r="EC20" s="11"/>
      <c r="ED20" s="11"/>
      <c r="EE20" s="13"/>
      <c r="EF20" s="18"/>
      <c r="EG20" s="11"/>
      <c r="EH20" s="11"/>
      <c r="EI20" s="13"/>
      <c r="EJ20" s="18"/>
      <c r="EK20" s="11"/>
      <c r="EL20" s="11"/>
      <c r="EM20" s="13"/>
      <c r="EN20" s="18"/>
      <c r="EO20" s="11"/>
      <c r="EP20" s="11"/>
      <c r="EQ20" s="13"/>
      <c r="ER20" s="18"/>
      <c r="ES20" s="11"/>
      <c r="ET20" s="11"/>
      <c r="EU20" s="13"/>
      <c r="EV20" s="18"/>
      <c r="EW20" s="11"/>
      <c r="EX20" s="11"/>
      <c r="EY20" s="13"/>
      <c r="EZ20" s="18"/>
      <c r="FA20" s="11"/>
      <c r="FB20" s="11"/>
      <c r="FC20" s="13"/>
      <c r="FD20" s="18"/>
      <c r="FE20" s="11"/>
      <c r="FF20" s="11"/>
      <c r="FG20" s="13"/>
      <c r="FH20" s="18"/>
      <c r="FI20" s="11"/>
      <c r="FJ20" s="11"/>
      <c r="FK20" s="13"/>
      <c r="FL20" s="18"/>
      <c r="FM20" s="11"/>
      <c r="FN20" s="11"/>
      <c r="FO20" s="13"/>
      <c r="FP20" s="18"/>
      <c r="FQ20" s="11"/>
      <c r="FR20" s="11"/>
      <c r="FS20" s="13"/>
      <c r="FT20" s="18"/>
      <c r="FU20" s="11"/>
      <c r="FV20" s="11"/>
      <c r="FW20" s="13"/>
      <c r="FX20" s="18"/>
      <c r="FY20" s="11"/>
      <c r="FZ20" s="11"/>
      <c r="GA20" s="13"/>
    </row>
    <row r="21" spans="1:183" s="45" customFormat="1" ht="24.75" customHeight="1">
      <c r="A21" s="55" t="s">
        <v>60</v>
      </c>
      <c r="B21" s="56">
        <v>40.0586</v>
      </c>
      <c r="C21" s="56">
        <v>23.5031</v>
      </c>
      <c r="D21" s="57" t="s">
        <v>61</v>
      </c>
      <c r="E21" s="55" t="s">
        <v>62</v>
      </c>
      <c r="F21" s="55" t="s">
        <v>11</v>
      </c>
      <c r="G21" s="55" t="s">
        <v>80</v>
      </c>
      <c r="H21" s="55">
        <v>3.06</v>
      </c>
      <c r="I21" s="55">
        <v>13.65</v>
      </c>
      <c r="J21" s="56">
        <v>0.134</v>
      </c>
      <c r="K21" s="58">
        <v>0.512671</v>
      </c>
      <c r="L21" s="58">
        <f>K21-J21*(EXP(0.00000000000654*785000000)-1)</f>
        <v>0.5119812884598511</v>
      </c>
      <c r="M21" s="59">
        <f>(L21/(0.512638-(0.1967*(EXP(0.00000000000654*785000000)-1)))-1)*10000</f>
        <v>6.952804155144765</v>
      </c>
      <c r="N21" s="55">
        <v>919</v>
      </c>
      <c r="O21" s="60">
        <v>700</v>
      </c>
      <c r="P21" s="55" t="s">
        <v>12</v>
      </c>
      <c r="Q21" s="14"/>
      <c r="R21" s="15"/>
      <c r="S21" s="16"/>
      <c r="T21" s="17"/>
      <c r="U21" s="11"/>
      <c r="V21" s="11"/>
      <c r="W21" s="13"/>
      <c r="X21" s="18"/>
      <c r="Y21" s="11"/>
      <c r="Z21" s="11"/>
      <c r="AA21" s="13"/>
      <c r="AB21" s="18"/>
      <c r="AC21" s="11"/>
      <c r="AD21" s="11"/>
      <c r="AE21" s="13"/>
      <c r="AF21" s="18"/>
      <c r="AG21" s="11"/>
      <c r="AH21" s="11"/>
      <c r="AI21" s="13"/>
      <c r="AJ21" s="18"/>
      <c r="AK21" s="11"/>
      <c r="AL21" s="11"/>
      <c r="AM21" s="13"/>
      <c r="AN21" s="18"/>
      <c r="AO21" s="11"/>
      <c r="AP21" s="11"/>
      <c r="AQ21" s="13"/>
      <c r="AR21" s="18"/>
      <c r="AS21" s="11"/>
      <c r="AT21" s="11"/>
      <c r="AU21" s="13"/>
      <c r="AV21" s="18"/>
      <c r="AW21" s="11"/>
      <c r="AX21" s="11"/>
      <c r="AY21" s="13"/>
      <c r="AZ21" s="18"/>
      <c r="BA21" s="11"/>
      <c r="BB21" s="11"/>
      <c r="BC21" s="13"/>
      <c r="BD21" s="18"/>
      <c r="BE21" s="11"/>
      <c r="BF21" s="11"/>
      <c r="BG21" s="13"/>
      <c r="BH21" s="18"/>
      <c r="BI21" s="11"/>
      <c r="BJ21" s="11"/>
      <c r="BK21" s="13"/>
      <c r="BL21" s="18"/>
      <c r="BM21" s="11"/>
      <c r="BN21" s="11"/>
      <c r="BO21" s="13"/>
      <c r="BP21" s="18"/>
      <c r="BQ21" s="11"/>
      <c r="BR21" s="11"/>
      <c r="BS21" s="13"/>
      <c r="BT21" s="18"/>
      <c r="BU21" s="11"/>
      <c r="BV21" s="11"/>
      <c r="BW21" s="13"/>
      <c r="BX21" s="18"/>
      <c r="BY21" s="11"/>
      <c r="BZ21" s="11"/>
      <c r="CA21" s="13"/>
      <c r="CB21" s="18"/>
      <c r="CC21" s="11"/>
      <c r="CD21" s="11"/>
      <c r="CE21" s="13"/>
      <c r="CF21" s="18"/>
      <c r="CG21" s="11"/>
      <c r="CH21" s="11"/>
      <c r="CI21" s="13"/>
      <c r="CJ21" s="18"/>
      <c r="CK21" s="11"/>
      <c r="CL21" s="11"/>
      <c r="CM21" s="13"/>
      <c r="CN21" s="18"/>
      <c r="CO21" s="11"/>
      <c r="CP21" s="11"/>
      <c r="CQ21" s="13"/>
      <c r="CR21" s="18"/>
      <c r="CS21" s="11"/>
      <c r="CT21" s="11"/>
      <c r="CU21" s="13"/>
      <c r="CV21" s="18"/>
      <c r="CW21" s="11"/>
      <c r="CX21" s="11"/>
      <c r="CY21" s="13"/>
      <c r="CZ21" s="18"/>
      <c r="DA21" s="11"/>
      <c r="DB21" s="11"/>
      <c r="DC21" s="13"/>
      <c r="DD21" s="18"/>
      <c r="DE21" s="11"/>
      <c r="DF21" s="11"/>
      <c r="DG21" s="13"/>
      <c r="DH21" s="18"/>
      <c r="DI21" s="11"/>
      <c r="DJ21" s="11"/>
      <c r="DK21" s="13"/>
      <c r="DL21" s="18"/>
      <c r="DM21" s="11"/>
      <c r="DN21" s="11"/>
      <c r="DO21" s="13"/>
      <c r="DP21" s="18"/>
      <c r="DQ21" s="11"/>
      <c r="DR21" s="11"/>
      <c r="DS21" s="13"/>
      <c r="DT21" s="18"/>
      <c r="DU21" s="11"/>
      <c r="DV21" s="11"/>
      <c r="DW21" s="13"/>
      <c r="DX21" s="18"/>
      <c r="DY21" s="11"/>
      <c r="DZ21" s="11"/>
      <c r="EA21" s="13"/>
      <c r="EB21" s="18"/>
      <c r="EC21" s="11"/>
      <c r="ED21" s="11"/>
      <c r="EE21" s="13"/>
      <c r="EF21" s="18"/>
      <c r="EG21" s="11"/>
      <c r="EH21" s="11"/>
      <c r="EI21" s="13"/>
      <c r="EJ21" s="18"/>
      <c r="EK21" s="11"/>
      <c r="EL21" s="11"/>
      <c r="EM21" s="13"/>
      <c r="EN21" s="18"/>
      <c r="EO21" s="11"/>
      <c r="EP21" s="11"/>
      <c r="EQ21" s="13"/>
      <c r="ER21" s="18"/>
      <c r="ES21" s="11"/>
      <c r="ET21" s="11"/>
      <c r="EU21" s="13"/>
      <c r="EV21" s="18"/>
      <c r="EW21" s="11"/>
      <c r="EX21" s="11"/>
      <c r="EY21" s="13"/>
      <c r="EZ21" s="18"/>
      <c r="FA21" s="11"/>
      <c r="FB21" s="11"/>
      <c r="FC21" s="13"/>
      <c r="FD21" s="18"/>
      <c r="FE21" s="11"/>
      <c r="FF21" s="11"/>
      <c r="FG21" s="13"/>
      <c r="FH21" s="18"/>
      <c r="FI21" s="11"/>
      <c r="FJ21" s="11"/>
      <c r="FK21" s="13"/>
      <c r="FL21" s="18"/>
      <c r="FM21" s="11"/>
      <c r="FN21" s="11"/>
      <c r="FO21" s="13"/>
      <c r="FP21" s="18"/>
      <c r="FQ21" s="11"/>
      <c r="FR21" s="11"/>
      <c r="FS21" s="13"/>
      <c r="FT21" s="18"/>
      <c r="FU21" s="11"/>
      <c r="FV21" s="11"/>
      <c r="FW21" s="13"/>
      <c r="FX21" s="18"/>
      <c r="FY21" s="11"/>
      <c r="FZ21" s="11"/>
      <c r="GA21" s="13"/>
    </row>
    <row r="22" spans="1:183" s="45" customFormat="1" ht="24.75" customHeight="1">
      <c r="A22" s="55" t="s">
        <v>63</v>
      </c>
      <c r="B22" s="56">
        <v>39.8883</v>
      </c>
      <c r="C22" s="56">
        <v>22.4122</v>
      </c>
      <c r="D22" s="57" t="s">
        <v>64</v>
      </c>
      <c r="E22" s="55" t="s">
        <v>65</v>
      </c>
      <c r="F22" s="55" t="s">
        <v>11</v>
      </c>
      <c r="G22" s="55" t="s">
        <v>80</v>
      </c>
      <c r="H22" s="55">
        <v>2.27</v>
      </c>
      <c r="I22" s="55">
        <v>11.12</v>
      </c>
      <c r="J22" s="56">
        <v>0.124</v>
      </c>
      <c r="K22" s="58">
        <v>0.512594</v>
      </c>
      <c r="L22" s="58">
        <f>K22-J22*(EXP(0.00000000000654*772000000)-1)</f>
        <v>0.5119663557630652</v>
      </c>
      <c r="M22" s="59">
        <f>(L22/(0.512638-(0.1967*(EXP(0.00000000000654*772000000)-1)))-1)*10000</f>
        <v>6.332191362343753</v>
      </c>
      <c r="N22" s="55">
        <v>947</v>
      </c>
      <c r="O22" s="60">
        <v>750</v>
      </c>
      <c r="P22" s="55" t="s">
        <v>12</v>
      </c>
      <c r="Q22" s="14"/>
      <c r="R22" s="15"/>
      <c r="S22" s="16"/>
      <c r="T22" s="17"/>
      <c r="U22" s="11"/>
      <c r="V22" s="11"/>
      <c r="W22" s="13"/>
      <c r="X22" s="18"/>
      <c r="Y22" s="11"/>
      <c r="Z22" s="11"/>
      <c r="AA22" s="13"/>
      <c r="AB22" s="18"/>
      <c r="AC22" s="11"/>
      <c r="AD22" s="11"/>
      <c r="AE22" s="13"/>
      <c r="AF22" s="18"/>
      <c r="AG22" s="11"/>
      <c r="AH22" s="11"/>
      <c r="AI22" s="13"/>
      <c r="AJ22" s="18"/>
      <c r="AK22" s="11"/>
      <c r="AL22" s="11"/>
      <c r="AM22" s="13"/>
      <c r="AN22" s="18"/>
      <c r="AO22" s="11"/>
      <c r="AP22" s="11"/>
      <c r="AQ22" s="13"/>
      <c r="AR22" s="18"/>
      <c r="AS22" s="11"/>
      <c r="AT22" s="11"/>
      <c r="AU22" s="13"/>
      <c r="AV22" s="18"/>
      <c r="AW22" s="11"/>
      <c r="AX22" s="11"/>
      <c r="AY22" s="13"/>
      <c r="AZ22" s="18"/>
      <c r="BA22" s="11"/>
      <c r="BB22" s="11"/>
      <c r="BC22" s="13"/>
      <c r="BD22" s="18"/>
      <c r="BE22" s="11"/>
      <c r="BF22" s="11"/>
      <c r="BG22" s="13"/>
      <c r="BH22" s="18"/>
      <c r="BI22" s="11"/>
      <c r="BJ22" s="11"/>
      <c r="BK22" s="13"/>
      <c r="BL22" s="18"/>
      <c r="BM22" s="11"/>
      <c r="BN22" s="11"/>
      <c r="BO22" s="13"/>
      <c r="BP22" s="18"/>
      <c r="BQ22" s="11"/>
      <c r="BR22" s="11"/>
      <c r="BS22" s="13"/>
      <c r="BT22" s="18"/>
      <c r="BU22" s="11"/>
      <c r="BV22" s="11"/>
      <c r="BW22" s="13"/>
      <c r="BX22" s="18"/>
      <c r="BY22" s="11"/>
      <c r="BZ22" s="11"/>
      <c r="CA22" s="13"/>
      <c r="CB22" s="18"/>
      <c r="CC22" s="11"/>
      <c r="CD22" s="11"/>
      <c r="CE22" s="13"/>
      <c r="CF22" s="18"/>
      <c r="CG22" s="11"/>
      <c r="CH22" s="11"/>
      <c r="CI22" s="13"/>
      <c r="CJ22" s="18"/>
      <c r="CK22" s="11"/>
      <c r="CL22" s="11"/>
      <c r="CM22" s="13"/>
      <c r="CN22" s="18"/>
      <c r="CO22" s="11"/>
      <c r="CP22" s="11"/>
      <c r="CQ22" s="13"/>
      <c r="CR22" s="18"/>
      <c r="CS22" s="11"/>
      <c r="CT22" s="11"/>
      <c r="CU22" s="13"/>
      <c r="CV22" s="18"/>
      <c r="CW22" s="11"/>
      <c r="CX22" s="11"/>
      <c r="CY22" s="13"/>
      <c r="CZ22" s="18"/>
      <c r="DA22" s="11"/>
      <c r="DB22" s="11"/>
      <c r="DC22" s="13"/>
      <c r="DD22" s="18"/>
      <c r="DE22" s="11"/>
      <c r="DF22" s="11"/>
      <c r="DG22" s="13"/>
      <c r="DH22" s="18"/>
      <c r="DI22" s="11"/>
      <c r="DJ22" s="11"/>
      <c r="DK22" s="13"/>
      <c r="DL22" s="18"/>
      <c r="DM22" s="11"/>
      <c r="DN22" s="11"/>
      <c r="DO22" s="13"/>
      <c r="DP22" s="18"/>
      <c r="DQ22" s="11"/>
      <c r="DR22" s="11"/>
      <c r="DS22" s="13"/>
      <c r="DT22" s="18"/>
      <c r="DU22" s="11"/>
      <c r="DV22" s="11"/>
      <c r="DW22" s="13"/>
      <c r="DX22" s="18"/>
      <c r="DY22" s="11"/>
      <c r="DZ22" s="11"/>
      <c r="EA22" s="13"/>
      <c r="EB22" s="18"/>
      <c r="EC22" s="11"/>
      <c r="ED22" s="11"/>
      <c r="EE22" s="13"/>
      <c r="EF22" s="18"/>
      <c r="EG22" s="11"/>
      <c r="EH22" s="11"/>
      <c r="EI22" s="13"/>
      <c r="EJ22" s="18"/>
      <c r="EK22" s="11"/>
      <c r="EL22" s="11"/>
      <c r="EM22" s="13"/>
      <c r="EN22" s="18"/>
      <c r="EO22" s="11"/>
      <c r="EP22" s="11"/>
      <c r="EQ22" s="13"/>
      <c r="ER22" s="18"/>
      <c r="ES22" s="11"/>
      <c r="ET22" s="11"/>
      <c r="EU22" s="13"/>
      <c r="EV22" s="18"/>
      <c r="EW22" s="11"/>
      <c r="EX22" s="11"/>
      <c r="EY22" s="13"/>
      <c r="EZ22" s="18"/>
      <c r="FA22" s="11"/>
      <c r="FB22" s="11"/>
      <c r="FC22" s="13"/>
      <c r="FD22" s="18"/>
      <c r="FE22" s="11"/>
      <c r="FF22" s="11"/>
      <c r="FG22" s="13"/>
      <c r="FH22" s="18"/>
      <c r="FI22" s="11"/>
      <c r="FJ22" s="11"/>
      <c r="FK22" s="13"/>
      <c r="FL22" s="18"/>
      <c r="FM22" s="11"/>
      <c r="FN22" s="11"/>
      <c r="FO22" s="13"/>
      <c r="FP22" s="18"/>
      <c r="FQ22" s="11"/>
      <c r="FR22" s="11"/>
      <c r="FS22" s="13"/>
      <c r="FT22" s="18"/>
      <c r="FU22" s="11"/>
      <c r="FV22" s="11"/>
      <c r="FW22" s="13"/>
      <c r="FX22" s="18"/>
      <c r="FY22" s="11"/>
      <c r="FZ22" s="11"/>
      <c r="GA22" s="13"/>
    </row>
    <row r="23" spans="1:183" s="45" customFormat="1" ht="24.75" customHeight="1">
      <c r="A23" s="55" t="s">
        <v>66</v>
      </c>
      <c r="B23" s="56">
        <v>39.366</v>
      </c>
      <c r="C23" s="56">
        <v>22.7056</v>
      </c>
      <c r="D23" s="57" t="s">
        <v>67</v>
      </c>
      <c r="E23" s="55" t="s">
        <v>68</v>
      </c>
      <c r="F23" s="55" t="s">
        <v>37</v>
      </c>
      <c r="G23" s="55" t="s">
        <v>80</v>
      </c>
      <c r="H23" s="55">
        <v>3.1</v>
      </c>
      <c r="I23" s="55">
        <v>9.9</v>
      </c>
      <c r="J23" s="56">
        <v>0.189</v>
      </c>
      <c r="K23" s="58">
        <v>0.512933</v>
      </c>
      <c r="L23" s="58">
        <f>K23-J23*(EXP(0.00000000000654*854000000)-1)</f>
        <v>0.5118744514301313</v>
      </c>
      <c r="M23" s="59">
        <f>(L23/(0.512638-(0.1967*(EXP(0.00000000000654*854000000)-1)))-1)*10000</f>
        <v>6.610010591077131</v>
      </c>
      <c r="N23" s="55"/>
      <c r="O23" s="60"/>
      <c r="P23" s="55" t="s">
        <v>12</v>
      </c>
      <c r="Q23" s="14"/>
      <c r="R23" s="11"/>
      <c r="S23" s="13"/>
      <c r="T23" s="17"/>
      <c r="U23" s="11"/>
      <c r="V23" s="11"/>
      <c r="W23" s="13"/>
      <c r="X23" s="18"/>
      <c r="Y23" s="11"/>
      <c r="Z23" s="11"/>
      <c r="AA23" s="13"/>
      <c r="AB23" s="18"/>
      <c r="AC23" s="11"/>
      <c r="AD23" s="11"/>
      <c r="AE23" s="13"/>
      <c r="AF23" s="18"/>
      <c r="AG23" s="11"/>
      <c r="AH23" s="11"/>
      <c r="AI23" s="13"/>
      <c r="AJ23" s="18"/>
      <c r="AK23" s="11"/>
      <c r="AL23" s="11"/>
      <c r="AM23" s="13"/>
      <c r="AN23" s="18"/>
      <c r="AO23" s="11"/>
      <c r="AP23" s="11"/>
      <c r="AQ23" s="13"/>
      <c r="AR23" s="18"/>
      <c r="AS23" s="11"/>
      <c r="AT23" s="11"/>
      <c r="AU23" s="13"/>
      <c r="AV23" s="18"/>
      <c r="AW23" s="11"/>
      <c r="AX23" s="11"/>
      <c r="AY23" s="13"/>
      <c r="AZ23" s="18"/>
      <c r="BA23" s="11"/>
      <c r="BB23" s="11"/>
      <c r="BC23" s="13"/>
      <c r="BD23" s="18"/>
      <c r="BE23" s="11"/>
      <c r="BF23" s="11"/>
      <c r="BG23" s="13"/>
      <c r="BH23" s="18"/>
      <c r="BI23" s="11"/>
      <c r="BJ23" s="11"/>
      <c r="BK23" s="13"/>
      <c r="BL23" s="18"/>
      <c r="BM23" s="11"/>
      <c r="BN23" s="11"/>
      <c r="BO23" s="13"/>
      <c r="BP23" s="18"/>
      <c r="BQ23" s="11"/>
      <c r="BR23" s="11"/>
      <c r="BS23" s="13"/>
      <c r="BT23" s="18"/>
      <c r="BU23" s="11"/>
      <c r="BV23" s="11"/>
      <c r="BW23" s="13"/>
      <c r="BX23" s="18"/>
      <c r="BY23" s="11"/>
      <c r="BZ23" s="11"/>
      <c r="CA23" s="13"/>
      <c r="CB23" s="18"/>
      <c r="CC23" s="11"/>
      <c r="CD23" s="11"/>
      <c r="CE23" s="13"/>
      <c r="CF23" s="18"/>
      <c r="CG23" s="11"/>
      <c r="CH23" s="11"/>
      <c r="CI23" s="13"/>
      <c r="CJ23" s="18"/>
      <c r="CK23" s="11"/>
      <c r="CL23" s="11"/>
      <c r="CM23" s="13"/>
      <c r="CN23" s="18"/>
      <c r="CO23" s="11"/>
      <c r="CP23" s="11"/>
      <c r="CQ23" s="13"/>
      <c r="CR23" s="18"/>
      <c r="CS23" s="11"/>
      <c r="CT23" s="11"/>
      <c r="CU23" s="13"/>
      <c r="CV23" s="18"/>
      <c r="CW23" s="11"/>
      <c r="CX23" s="11"/>
      <c r="CY23" s="13"/>
      <c r="CZ23" s="18"/>
      <c r="DA23" s="11"/>
      <c r="DB23" s="11"/>
      <c r="DC23" s="13"/>
      <c r="DD23" s="18"/>
      <c r="DE23" s="11"/>
      <c r="DF23" s="11"/>
      <c r="DG23" s="13"/>
      <c r="DH23" s="18"/>
      <c r="DI23" s="11"/>
      <c r="DJ23" s="11"/>
      <c r="DK23" s="13"/>
      <c r="DL23" s="18"/>
      <c r="DM23" s="11"/>
      <c r="DN23" s="11"/>
      <c r="DO23" s="13"/>
      <c r="DP23" s="18"/>
      <c r="DQ23" s="11"/>
      <c r="DR23" s="11"/>
      <c r="DS23" s="13"/>
      <c r="DT23" s="18"/>
      <c r="DU23" s="11"/>
      <c r="DV23" s="11"/>
      <c r="DW23" s="13"/>
      <c r="DX23" s="18"/>
      <c r="DY23" s="11"/>
      <c r="DZ23" s="11"/>
      <c r="EA23" s="13"/>
      <c r="EB23" s="18"/>
      <c r="EC23" s="11"/>
      <c r="ED23" s="11"/>
      <c r="EE23" s="13"/>
      <c r="EF23" s="18"/>
      <c r="EG23" s="11"/>
      <c r="EH23" s="11"/>
      <c r="EI23" s="13"/>
      <c r="EJ23" s="18"/>
      <c r="EK23" s="11"/>
      <c r="EL23" s="11"/>
      <c r="EM23" s="13"/>
      <c r="EN23" s="18"/>
      <c r="EO23" s="11"/>
      <c r="EP23" s="11"/>
      <c r="EQ23" s="13"/>
      <c r="ER23" s="18"/>
      <c r="ES23" s="11"/>
      <c r="ET23" s="11"/>
      <c r="EU23" s="13"/>
      <c r="EV23" s="18"/>
      <c r="EW23" s="11"/>
      <c r="EX23" s="11"/>
      <c r="EY23" s="13"/>
      <c r="EZ23" s="18"/>
      <c r="FA23" s="11"/>
      <c r="FB23" s="11"/>
      <c r="FC23" s="13"/>
      <c r="FD23" s="18"/>
      <c r="FE23" s="11"/>
      <c r="FF23" s="11"/>
      <c r="FG23" s="13"/>
      <c r="FH23" s="18"/>
      <c r="FI23" s="11"/>
      <c r="FJ23" s="11"/>
      <c r="FK23" s="13"/>
      <c r="FL23" s="18"/>
      <c r="FM23" s="11"/>
      <c r="FN23" s="11"/>
      <c r="FO23" s="13"/>
      <c r="FP23" s="18"/>
      <c r="FQ23" s="11"/>
      <c r="FR23" s="11"/>
      <c r="FS23" s="13"/>
      <c r="FT23" s="18"/>
      <c r="FU23" s="11"/>
      <c r="FV23" s="11"/>
      <c r="FW23" s="13"/>
      <c r="FX23" s="18"/>
      <c r="FY23" s="11"/>
      <c r="FZ23" s="11"/>
      <c r="GA23" s="13"/>
    </row>
    <row r="24" spans="1:183" s="45" customFormat="1" ht="24.75" customHeight="1">
      <c r="A24" s="55" t="s">
        <v>69</v>
      </c>
      <c r="B24" s="56">
        <v>39.362</v>
      </c>
      <c r="C24" s="56">
        <v>22.705</v>
      </c>
      <c r="D24" s="57" t="s">
        <v>67</v>
      </c>
      <c r="E24" s="55" t="s">
        <v>70</v>
      </c>
      <c r="F24" s="55" t="s">
        <v>37</v>
      </c>
      <c r="G24" s="55" t="s">
        <v>80</v>
      </c>
      <c r="H24" s="55">
        <v>4.6</v>
      </c>
      <c r="I24" s="55">
        <v>16.6</v>
      </c>
      <c r="J24" s="56">
        <v>0.168</v>
      </c>
      <c r="K24" s="58">
        <v>0.51283</v>
      </c>
      <c r="L24" s="58">
        <f>K24-J24*(EXP(0.00000000000654*812000000)-1)</f>
        <v>0.511935466260476</v>
      </c>
      <c r="M24" s="59">
        <f>(L24/(0.512638-(0.1967*(EXP(0.00000000000654*812000000)-1)))-1)*10000</f>
        <v>6.740079797158405</v>
      </c>
      <c r="N24" s="55"/>
      <c r="O24" s="60"/>
      <c r="P24" s="55" t="s">
        <v>12</v>
      </c>
      <c r="Q24" s="14"/>
      <c r="R24" s="15"/>
      <c r="S24" s="16"/>
      <c r="T24" s="17"/>
      <c r="U24" s="11"/>
      <c r="V24" s="11"/>
      <c r="W24" s="13"/>
      <c r="X24" s="18"/>
      <c r="Y24" s="11"/>
      <c r="Z24" s="11"/>
      <c r="AA24" s="13"/>
      <c r="AB24" s="18"/>
      <c r="AC24" s="11"/>
      <c r="AD24" s="11"/>
      <c r="AE24" s="13"/>
      <c r="AF24" s="18"/>
      <c r="AG24" s="11"/>
      <c r="AH24" s="11"/>
      <c r="AI24" s="13"/>
      <c r="AJ24" s="18"/>
      <c r="AK24" s="11"/>
      <c r="AL24" s="11"/>
      <c r="AM24" s="13"/>
      <c r="AN24" s="18"/>
      <c r="AO24" s="11"/>
      <c r="AP24" s="11"/>
      <c r="AQ24" s="13"/>
      <c r="AR24" s="18"/>
      <c r="AS24" s="11"/>
      <c r="AT24" s="11"/>
      <c r="AU24" s="13"/>
      <c r="AV24" s="18"/>
      <c r="AW24" s="11"/>
      <c r="AX24" s="11"/>
      <c r="AY24" s="13"/>
      <c r="AZ24" s="18"/>
      <c r="BA24" s="11"/>
      <c r="BB24" s="11"/>
      <c r="BC24" s="13"/>
      <c r="BD24" s="18"/>
      <c r="BE24" s="11"/>
      <c r="BF24" s="11"/>
      <c r="BG24" s="13"/>
      <c r="BH24" s="18"/>
      <c r="BI24" s="11"/>
      <c r="BJ24" s="11"/>
      <c r="BK24" s="13"/>
      <c r="BL24" s="18"/>
      <c r="BM24" s="11"/>
      <c r="BN24" s="11"/>
      <c r="BO24" s="13"/>
      <c r="BP24" s="18"/>
      <c r="BQ24" s="11"/>
      <c r="BR24" s="11"/>
      <c r="BS24" s="13"/>
      <c r="BT24" s="18"/>
      <c r="BU24" s="11"/>
      <c r="BV24" s="11"/>
      <c r="BW24" s="13"/>
      <c r="BX24" s="18"/>
      <c r="BY24" s="11"/>
      <c r="BZ24" s="11"/>
      <c r="CA24" s="13"/>
      <c r="CB24" s="18"/>
      <c r="CC24" s="11"/>
      <c r="CD24" s="11"/>
      <c r="CE24" s="13"/>
      <c r="CF24" s="18"/>
      <c r="CG24" s="11"/>
      <c r="CH24" s="11"/>
      <c r="CI24" s="13"/>
      <c r="CJ24" s="18"/>
      <c r="CK24" s="11"/>
      <c r="CL24" s="11"/>
      <c r="CM24" s="13"/>
      <c r="CN24" s="18"/>
      <c r="CO24" s="11"/>
      <c r="CP24" s="11"/>
      <c r="CQ24" s="13"/>
      <c r="CR24" s="18"/>
      <c r="CS24" s="11"/>
      <c r="CT24" s="11"/>
      <c r="CU24" s="13"/>
      <c r="CV24" s="18"/>
      <c r="CW24" s="11"/>
      <c r="CX24" s="11"/>
      <c r="CY24" s="13"/>
      <c r="CZ24" s="18"/>
      <c r="DA24" s="11"/>
      <c r="DB24" s="11"/>
      <c r="DC24" s="13"/>
      <c r="DD24" s="18"/>
      <c r="DE24" s="11"/>
      <c r="DF24" s="11"/>
      <c r="DG24" s="13"/>
      <c r="DH24" s="18"/>
      <c r="DI24" s="11"/>
      <c r="DJ24" s="11"/>
      <c r="DK24" s="13"/>
      <c r="DL24" s="18"/>
      <c r="DM24" s="11"/>
      <c r="DN24" s="11"/>
      <c r="DO24" s="13"/>
      <c r="DP24" s="18"/>
      <c r="DQ24" s="11"/>
      <c r="DR24" s="11"/>
      <c r="DS24" s="13"/>
      <c r="DT24" s="18"/>
      <c r="DU24" s="11"/>
      <c r="DV24" s="11"/>
      <c r="DW24" s="13"/>
      <c r="DX24" s="18"/>
      <c r="DY24" s="11"/>
      <c r="DZ24" s="11"/>
      <c r="EA24" s="13"/>
      <c r="EB24" s="18"/>
      <c r="EC24" s="11"/>
      <c r="ED24" s="11"/>
      <c r="EE24" s="13"/>
      <c r="EF24" s="18"/>
      <c r="EG24" s="11"/>
      <c r="EH24" s="11"/>
      <c r="EI24" s="13"/>
      <c r="EJ24" s="18"/>
      <c r="EK24" s="11"/>
      <c r="EL24" s="11"/>
      <c r="EM24" s="13"/>
      <c r="EN24" s="18"/>
      <c r="EO24" s="11"/>
      <c r="EP24" s="11"/>
      <c r="EQ24" s="13"/>
      <c r="ER24" s="18"/>
      <c r="ES24" s="11"/>
      <c r="ET24" s="11"/>
      <c r="EU24" s="13"/>
      <c r="EV24" s="18"/>
      <c r="EW24" s="11"/>
      <c r="EX24" s="11"/>
      <c r="EY24" s="13"/>
      <c r="EZ24" s="18"/>
      <c r="FA24" s="11"/>
      <c r="FB24" s="11"/>
      <c r="FC24" s="13"/>
      <c r="FD24" s="18"/>
      <c r="FE24" s="11"/>
      <c r="FF24" s="11"/>
      <c r="FG24" s="13"/>
      <c r="FH24" s="18"/>
      <c r="FI24" s="11"/>
      <c r="FJ24" s="11"/>
      <c r="FK24" s="13"/>
      <c r="FL24" s="18"/>
      <c r="FM24" s="11"/>
      <c r="FN24" s="11"/>
      <c r="FO24" s="13"/>
      <c r="FP24" s="18"/>
      <c r="FQ24" s="11"/>
      <c r="FR24" s="11"/>
      <c r="FS24" s="13"/>
      <c r="FT24" s="18"/>
      <c r="FU24" s="11"/>
      <c r="FV24" s="11"/>
      <c r="FW24" s="13"/>
      <c r="FX24" s="18"/>
      <c r="FY24" s="11"/>
      <c r="FZ24" s="11"/>
      <c r="GA24" s="13"/>
    </row>
    <row r="25" spans="1:183" s="45" customFormat="1" ht="24.75" customHeight="1">
      <c r="A25" s="55" t="s">
        <v>71</v>
      </c>
      <c r="B25" s="56">
        <v>39.3243</v>
      </c>
      <c r="C25" s="56">
        <v>22.7768</v>
      </c>
      <c r="D25" s="57" t="s">
        <v>72</v>
      </c>
      <c r="E25" s="55" t="s">
        <v>73</v>
      </c>
      <c r="F25" s="55" t="s">
        <v>37</v>
      </c>
      <c r="G25" s="55" t="s">
        <v>80</v>
      </c>
      <c r="H25" s="55">
        <v>6.23</v>
      </c>
      <c r="I25" s="55">
        <v>40.09</v>
      </c>
      <c r="J25" s="56">
        <v>0.094</v>
      </c>
      <c r="K25" s="58">
        <v>0.512503</v>
      </c>
      <c r="L25" s="58">
        <f>K25-J25*(EXP(0.00000000000654*596000000)-1)</f>
        <v>0.5121358880329442</v>
      </c>
      <c r="M25" s="59">
        <f>(L25/(0.512638-(0.1967*(EXP(0.00000000000654*596000000)-1)))-1)*10000</f>
        <v>5.1983795864885</v>
      </c>
      <c r="N25" s="55">
        <v>826</v>
      </c>
      <c r="O25" s="60">
        <v>680</v>
      </c>
      <c r="P25" s="55" t="s">
        <v>12</v>
      </c>
      <c r="Q25" s="14"/>
      <c r="R25" s="15"/>
      <c r="S25" s="16"/>
      <c r="T25" s="17"/>
      <c r="U25" s="11"/>
      <c r="V25" s="11"/>
      <c r="W25" s="13"/>
      <c r="X25" s="18"/>
      <c r="Y25" s="11"/>
      <c r="Z25" s="11"/>
      <c r="AA25" s="13"/>
      <c r="AB25" s="18"/>
      <c r="AC25" s="11"/>
      <c r="AD25" s="11"/>
      <c r="AE25" s="13"/>
      <c r="AF25" s="18"/>
      <c r="AG25" s="11"/>
      <c r="AH25" s="11"/>
      <c r="AI25" s="13"/>
      <c r="AJ25" s="18"/>
      <c r="AK25" s="11"/>
      <c r="AL25" s="11"/>
      <c r="AM25" s="13"/>
      <c r="AN25" s="18"/>
      <c r="AO25" s="11"/>
      <c r="AP25" s="11"/>
      <c r="AQ25" s="13"/>
      <c r="AR25" s="18"/>
      <c r="AS25" s="11"/>
      <c r="AT25" s="11"/>
      <c r="AU25" s="13"/>
      <c r="AV25" s="18"/>
      <c r="AW25" s="11"/>
      <c r="AX25" s="11"/>
      <c r="AY25" s="13"/>
      <c r="AZ25" s="18"/>
      <c r="BA25" s="11"/>
      <c r="BB25" s="11"/>
      <c r="BC25" s="13"/>
      <c r="BD25" s="18"/>
      <c r="BE25" s="11"/>
      <c r="BF25" s="11"/>
      <c r="BG25" s="13"/>
      <c r="BH25" s="18"/>
      <c r="BI25" s="11"/>
      <c r="BJ25" s="11"/>
      <c r="BK25" s="13"/>
      <c r="BL25" s="18"/>
      <c r="BM25" s="11"/>
      <c r="BN25" s="11"/>
      <c r="BO25" s="13"/>
      <c r="BP25" s="18"/>
      <c r="BQ25" s="11"/>
      <c r="BR25" s="11"/>
      <c r="BS25" s="13"/>
      <c r="BT25" s="18"/>
      <c r="BU25" s="11"/>
      <c r="BV25" s="11"/>
      <c r="BW25" s="13"/>
      <c r="BX25" s="18"/>
      <c r="BY25" s="11"/>
      <c r="BZ25" s="11"/>
      <c r="CA25" s="13"/>
      <c r="CB25" s="18"/>
      <c r="CC25" s="11"/>
      <c r="CD25" s="11"/>
      <c r="CE25" s="13"/>
      <c r="CF25" s="18"/>
      <c r="CG25" s="11"/>
      <c r="CH25" s="11"/>
      <c r="CI25" s="13"/>
      <c r="CJ25" s="18"/>
      <c r="CK25" s="11"/>
      <c r="CL25" s="11"/>
      <c r="CM25" s="13"/>
      <c r="CN25" s="18"/>
      <c r="CO25" s="11"/>
      <c r="CP25" s="11"/>
      <c r="CQ25" s="13"/>
      <c r="CR25" s="18"/>
      <c r="CS25" s="11"/>
      <c r="CT25" s="11"/>
      <c r="CU25" s="13"/>
      <c r="CV25" s="18"/>
      <c r="CW25" s="11"/>
      <c r="CX25" s="11"/>
      <c r="CY25" s="13"/>
      <c r="CZ25" s="18"/>
      <c r="DA25" s="11"/>
      <c r="DB25" s="11"/>
      <c r="DC25" s="13"/>
      <c r="DD25" s="18"/>
      <c r="DE25" s="11"/>
      <c r="DF25" s="11"/>
      <c r="DG25" s="13"/>
      <c r="DH25" s="18"/>
      <c r="DI25" s="11"/>
      <c r="DJ25" s="11"/>
      <c r="DK25" s="13"/>
      <c r="DL25" s="18"/>
      <c r="DM25" s="11"/>
      <c r="DN25" s="11"/>
      <c r="DO25" s="13"/>
      <c r="DP25" s="18"/>
      <c r="DQ25" s="11"/>
      <c r="DR25" s="11"/>
      <c r="DS25" s="13"/>
      <c r="DT25" s="18"/>
      <c r="DU25" s="11"/>
      <c r="DV25" s="11"/>
      <c r="DW25" s="13"/>
      <c r="DX25" s="18"/>
      <c r="DY25" s="11"/>
      <c r="DZ25" s="11"/>
      <c r="EA25" s="13"/>
      <c r="EB25" s="18"/>
      <c r="EC25" s="11"/>
      <c r="ED25" s="11"/>
      <c r="EE25" s="13"/>
      <c r="EF25" s="18"/>
      <c r="EG25" s="11"/>
      <c r="EH25" s="11"/>
      <c r="EI25" s="13"/>
      <c r="EJ25" s="18"/>
      <c r="EK25" s="11"/>
      <c r="EL25" s="11"/>
      <c r="EM25" s="13"/>
      <c r="EN25" s="18"/>
      <c r="EO25" s="11"/>
      <c r="EP25" s="11"/>
      <c r="EQ25" s="13"/>
      <c r="ER25" s="18"/>
      <c r="ES25" s="11"/>
      <c r="ET25" s="11"/>
      <c r="EU25" s="13"/>
      <c r="EV25" s="18"/>
      <c r="EW25" s="11"/>
      <c r="EX25" s="11"/>
      <c r="EY25" s="13"/>
      <c r="EZ25" s="18"/>
      <c r="FA25" s="11"/>
      <c r="FB25" s="11"/>
      <c r="FC25" s="13"/>
      <c r="FD25" s="18"/>
      <c r="FE25" s="11"/>
      <c r="FF25" s="11"/>
      <c r="FG25" s="13"/>
      <c r="FH25" s="18"/>
      <c r="FI25" s="11"/>
      <c r="FJ25" s="11"/>
      <c r="FK25" s="13"/>
      <c r="FL25" s="18"/>
      <c r="FM25" s="11"/>
      <c r="FN25" s="11"/>
      <c r="FO25" s="13"/>
      <c r="FP25" s="18"/>
      <c r="FQ25" s="11"/>
      <c r="FR25" s="11"/>
      <c r="FS25" s="13"/>
      <c r="FT25" s="18"/>
      <c r="FU25" s="11"/>
      <c r="FV25" s="11"/>
      <c r="FW25" s="13"/>
      <c r="FX25" s="18"/>
      <c r="FY25" s="11"/>
      <c r="FZ25" s="11"/>
      <c r="GA25" s="13"/>
    </row>
    <row r="26" spans="1:183" s="45" customFormat="1" ht="24.75" customHeight="1">
      <c r="A26" s="55" t="s">
        <v>74</v>
      </c>
      <c r="B26" s="56">
        <v>41.3943</v>
      </c>
      <c r="C26" s="56">
        <v>23.445</v>
      </c>
      <c r="D26" s="57" t="s">
        <v>75</v>
      </c>
      <c r="E26" s="55" t="s">
        <v>76</v>
      </c>
      <c r="F26" s="55" t="s">
        <v>11</v>
      </c>
      <c r="G26" s="55" t="s">
        <v>80</v>
      </c>
      <c r="H26" s="55">
        <v>3.21</v>
      </c>
      <c r="I26" s="55">
        <v>12.97</v>
      </c>
      <c r="J26" s="56">
        <v>0.15</v>
      </c>
      <c r="K26" s="58">
        <v>0.512708</v>
      </c>
      <c r="L26" s="58">
        <f>K26-J26*(EXP(0.00000000000654*813000000)-1)</f>
        <v>0.5119083229344763</v>
      </c>
      <c r="M26" s="59">
        <f>(L26/(0.512638-(0.1967*(EXP(0.00000000000654*813000000)-1)))-1)*10000</f>
        <v>6.234807705731704</v>
      </c>
      <c r="N26" s="55">
        <v>1061</v>
      </c>
      <c r="O26" s="60">
        <v>780</v>
      </c>
      <c r="P26" s="55" t="s">
        <v>12</v>
      </c>
      <c r="Q26" s="14"/>
      <c r="R26" s="15"/>
      <c r="S26" s="16"/>
      <c r="T26" s="17"/>
      <c r="U26" s="11"/>
      <c r="V26" s="11"/>
      <c r="W26" s="13"/>
      <c r="X26" s="18"/>
      <c r="Y26" s="11"/>
      <c r="Z26" s="11"/>
      <c r="AA26" s="13"/>
      <c r="AB26" s="18"/>
      <c r="AC26" s="11"/>
      <c r="AD26" s="11"/>
      <c r="AE26" s="13"/>
      <c r="AF26" s="18"/>
      <c r="AG26" s="11"/>
      <c r="AH26" s="11"/>
      <c r="AI26" s="13"/>
      <c r="AJ26" s="18"/>
      <c r="AK26" s="11"/>
      <c r="AL26" s="11"/>
      <c r="AM26" s="13"/>
      <c r="AN26" s="18"/>
      <c r="AO26" s="11"/>
      <c r="AP26" s="11"/>
      <c r="AQ26" s="13"/>
      <c r="AR26" s="18"/>
      <c r="AS26" s="11"/>
      <c r="AT26" s="11"/>
      <c r="AU26" s="13"/>
      <c r="AV26" s="18"/>
      <c r="AW26" s="11"/>
      <c r="AX26" s="11"/>
      <c r="AY26" s="13"/>
      <c r="AZ26" s="18"/>
      <c r="BA26" s="11"/>
      <c r="BB26" s="11"/>
      <c r="BC26" s="13"/>
      <c r="BD26" s="18"/>
      <c r="BE26" s="11"/>
      <c r="BF26" s="11"/>
      <c r="BG26" s="13"/>
      <c r="BH26" s="18"/>
      <c r="BI26" s="11"/>
      <c r="BJ26" s="11"/>
      <c r="BK26" s="13"/>
      <c r="BL26" s="18"/>
      <c r="BM26" s="11"/>
      <c r="BN26" s="11"/>
      <c r="BO26" s="13"/>
      <c r="BP26" s="18"/>
      <c r="BQ26" s="11"/>
      <c r="BR26" s="11"/>
      <c r="BS26" s="13"/>
      <c r="BT26" s="18"/>
      <c r="BU26" s="11"/>
      <c r="BV26" s="11"/>
      <c r="BW26" s="13"/>
      <c r="BX26" s="18"/>
      <c r="BY26" s="11"/>
      <c r="BZ26" s="11"/>
      <c r="CA26" s="13"/>
      <c r="CB26" s="18"/>
      <c r="CC26" s="11"/>
      <c r="CD26" s="11"/>
      <c r="CE26" s="13"/>
      <c r="CF26" s="18"/>
      <c r="CG26" s="11"/>
      <c r="CH26" s="11"/>
      <c r="CI26" s="13"/>
      <c r="CJ26" s="18"/>
      <c r="CK26" s="11"/>
      <c r="CL26" s="11"/>
      <c r="CM26" s="13"/>
      <c r="CN26" s="18"/>
      <c r="CO26" s="11"/>
      <c r="CP26" s="11"/>
      <c r="CQ26" s="13"/>
      <c r="CR26" s="18"/>
      <c r="CS26" s="11"/>
      <c r="CT26" s="11"/>
      <c r="CU26" s="13"/>
      <c r="CV26" s="18"/>
      <c r="CW26" s="11"/>
      <c r="CX26" s="11"/>
      <c r="CY26" s="13"/>
      <c r="CZ26" s="18"/>
      <c r="DA26" s="11"/>
      <c r="DB26" s="11"/>
      <c r="DC26" s="13"/>
      <c r="DD26" s="18"/>
      <c r="DE26" s="11"/>
      <c r="DF26" s="11"/>
      <c r="DG26" s="13"/>
      <c r="DH26" s="18"/>
      <c r="DI26" s="11"/>
      <c r="DJ26" s="11"/>
      <c r="DK26" s="13"/>
      <c r="DL26" s="18"/>
      <c r="DM26" s="11"/>
      <c r="DN26" s="11"/>
      <c r="DO26" s="13"/>
      <c r="DP26" s="18"/>
      <c r="DQ26" s="11"/>
      <c r="DR26" s="11"/>
      <c r="DS26" s="13"/>
      <c r="DT26" s="18"/>
      <c r="DU26" s="11"/>
      <c r="DV26" s="11"/>
      <c r="DW26" s="13"/>
      <c r="DX26" s="18"/>
      <c r="DY26" s="11"/>
      <c r="DZ26" s="11"/>
      <c r="EA26" s="13"/>
      <c r="EB26" s="18"/>
      <c r="EC26" s="11"/>
      <c r="ED26" s="11"/>
      <c r="EE26" s="13"/>
      <c r="EF26" s="18"/>
      <c r="EG26" s="11"/>
      <c r="EH26" s="11"/>
      <c r="EI26" s="13"/>
      <c r="EJ26" s="18"/>
      <c r="EK26" s="11"/>
      <c r="EL26" s="11"/>
      <c r="EM26" s="13"/>
      <c r="EN26" s="18"/>
      <c r="EO26" s="11"/>
      <c r="EP26" s="11"/>
      <c r="EQ26" s="13"/>
      <c r="ER26" s="18"/>
      <c r="ES26" s="11"/>
      <c r="ET26" s="11"/>
      <c r="EU26" s="13"/>
      <c r="EV26" s="18"/>
      <c r="EW26" s="11"/>
      <c r="EX26" s="11"/>
      <c r="EY26" s="13"/>
      <c r="EZ26" s="18"/>
      <c r="FA26" s="11"/>
      <c r="FB26" s="11"/>
      <c r="FC26" s="13"/>
      <c r="FD26" s="18"/>
      <c r="FE26" s="11"/>
      <c r="FF26" s="11"/>
      <c r="FG26" s="13"/>
      <c r="FH26" s="18"/>
      <c r="FI26" s="11"/>
      <c r="FJ26" s="11"/>
      <c r="FK26" s="13"/>
      <c r="FL26" s="18"/>
      <c r="FM26" s="11"/>
      <c r="FN26" s="11"/>
      <c r="FO26" s="13"/>
      <c r="FP26" s="18"/>
      <c r="FQ26" s="11"/>
      <c r="FR26" s="11"/>
      <c r="FS26" s="13"/>
      <c r="FT26" s="18"/>
      <c r="FU26" s="11"/>
      <c r="FV26" s="11"/>
      <c r="FW26" s="13"/>
      <c r="FX26" s="18"/>
      <c r="FY26" s="11"/>
      <c r="FZ26" s="11"/>
      <c r="GA26" s="13"/>
    </row>
    <row r="27" spans="1:50" s="45" customFormat="1" ht="24.75" customHeight="1">
      <c r="A27" s="55" t="s">
        <v>77</v>
      </c>
      <c r="B27" s="56">
        <v>44.82</v>
      </c>
      <c r="C27" s="56">
        <v>21.32</v>
      </c>
      <c r="D27" s="55" t="s">
        <v>78</v>
      </c>
      <c r="E27" s="67" t="s">
        <v>243</v>
      </c>
      <c r="F27" s="55" t="s">
        <v>79</v>
      </c>
      <c r="G27" s="55" t="s">
        <v>80</v>
      </c>
      <c r="H27" s="59">
        <v>4.06</v>
      </c>
      <c r="I27" s="61">
        <v>23.8</v>
      </c>
      <c r="J27" s="56">
        <v>0.104</v>
      </c>
      <c r="K27" s="58">
        <v>0.51185</v>
      </c>
      <c r="L27" s="58">
        <f>K27-J27*(EXP(0.00000000000654*756000000)-1)</f>
        <v>0.5113345257759466</v>
      </c>
      <c r="M27" s="61">
        <f>(L27/(0.512638-(0.1967*(EXP(0.00000000000654*756000000)-1)))-1)*10000</f>
        <v>-6.420905841941771</v>
      </c>
      <c r="N27" s="60">
        <v>1804</v>
      </c>
      <c r="O27" s="60">
        <v>1600</v>
      </c>
      <c r="P27" s="55" t="s">
        <v>81</v>
      </c>
      <c r="Q27" s="14"/>
      <c r="R27" s="15"/>
      <c r="S27" s="16"/>
      <c r="T27" s="17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s="45" customFormat="1" ht="24.75" customHeight="1">
      <c r="A28" s="55">
        <v>363883</v>
      </c>
      <c r="B28" s="56">
        <v>44.9167</v>
      </c>
      <c r="C28" s="56">
        <v>21.15</v>
      </c>
      <c r="D28" s="55" t="s">
        <v>82</v>
      </c>
      <c r="E28" s="67" t="s">
        <v>244</v>
      </c>
      <c r="F28" s="55" t="s">
        <v>83</v>
      </c>
      <c r="G28" s="55" t="s">
        <v>80</v>
      </c>
      <c r="H28" s="55">
        <v>17.74</v>
      </c>
      <c r="I28" s="55">
        <v>94.48</v>
      </c>
      <c r="J28" s="56">
        <v>0.1135</v>
      </c>
      <c r="K28" s="58">
        <v>0.511459</v>
      </c>
      <c r="L28" s="58">
        <v>0.5102200856936886</v>
      </c>
      <c r="M28" s="61">
        <f>(L28/(0.512638-(0.1967*(EXP(0.00000000000654*1660000000)-1)))-1)*10000</f>
        <v>-5.3052206601866825</v>
      </c>
      <c r="N28" s="60">
        <v>2562</v>
      </c>
      <c r="O28" s="60">
        <v>2400</v>
      </c>
      <c r="P28" s="55" t="s">
        <v>84</v>
      </c>
      <c r="Q28" s="14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s="45" customFormat="1" ht="24.75" customHeight="1">
      <c r="A29" s="66" t="s">
        <v>77</v>
      </c>
      <c r="B29" s="56">
        <v>44.82</v>
      </c>
      <c r="C29" s="56">
        <v>21.32</v>
      </c>
      <c r="D29" s="66" t="s">
        <v>78</v>
      </c>
      <c r="E29" s="67" t="s">
        <v>85</v>
      </c>
      <c r="F29" s="66" t="s">
        <v>79</v>
      </c>
      <c r="G29" s="66" t="s">
        <v>80</v>
      </c>
      <c r="H29" s="64">
        <v>4.06</v>
      </c>
      <c r="I29" s="62">
        <v>23.8</v>
      </c>
      <c r="J29" s="65">
        <v>0.104</v>
      </c>
      <c r="K29" s="68">
        <v>0.51185</v>
      </c>
      <c r="L29" s="58">
        <f>K29-J29*(EXP(0.00000000000654*850000000)-1)</f>
        <v>0.5112702540892058</v>
      </c>
      <c r="M29" s="62">
        <f>(L29/(0.512638-(0.1967*(EXP(0.00000000000654*850000000)-1)))-1)*10000</f>
        <v>-5.302516263312462</v>
      </c>
      <c r="N29" s="63">
        <v>1800</v>
      </c>
      <c r="O29" s="63">
        <v>1600</v>
      </c>
      <c r="P29" s="55" t="s">
        <v>81</v>
      </c>
      <c r="Q29" s="14"/>
      <c r="R29" s="15"/>
      <c r="S29" s="16"/>
      <c r="T29" s="17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s="45" customFormat="1" ht="24.75" customHeight="1">
      <c r="A30" s="55" t="s">
        <v>77</v>
      </c>
      <c r="B30" s="56">
        <v>44.82</v>
      </c>
      <c r="C30" s="56">
        <v>21.32</v>
      </c>
      <c r="D30" s="66" t="s">
        <v>78</v>
      </c>
      <c r="E30" s="67" t="s">
        <v>86</v>
      </c>
      <c r="F30" s="66" t="s">
        <v>79</v>
      </c>
      <c r="G30" s="66" t="s">
        <v>80</v>
      </c>
      <c r="H30" s="64">
        <v>4.06</v>
      </c>
      <c r="I30" s="62">
        <v>23.8</v>
      </c>
      <c r="J30" s="65">
        <v>0.104</v>
      </c>
      <c r="K30" s="68">
        <v>0.51185</v>
      </c>
      <c r="L30" s="58">
        <f>K30-J30*(EXP(0.00000000000654*850000000)-1)</f>
        <v>0.5112702540892058</v>
      </c>
      <c r="M30" s="62">
        <f>(L30/(0.512638-(0.1967*(EXP(0.00000000000654*850000000)-1)))-1)*10000</f>
        <v>-5.302516263312462</v>
      </c>
      <c r="N30" s="63">
        <v>1800</v>
      </c>
      <c r="O30" s="63">
        <v>1600</v>
      </c>
      <c r="P30" s="55" t="s">
        <v>81</v>
      </c>
      <c r="Q30" s="14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s="45" customFormat="1" ht="24.75" customHeight="1">
      <c r="A31" s="55">
        <v>363883</v>
      </c>
      <c r="B31" s="56">
        <v>44.9167</v>
      </c>
      <c r="C31" s="56">
        <v>21.15</v>
      </c>
      <c r="D31" s="66" t="s">
        <v>82</v>
      </c>
      <c r="E31" s="67" t="s">
        <v>87</v>
      </c>
      <c r="F31" s="66" t="s">
        <v>83</v>
      </c>
      <c r="G31" s="66" t="s">
        <v>80</v>
      </c>
      <c r="H31" s="66">
        <v>17.74</v>
      </c>
      <c r="I31" s="66">
        <v>94.48</v>
      </c>
      <c r="J31" s="65">
        <v>0.1135</v>
      </c>
      <c r="K31" s="68">
        <v>0.511459</v>
      </c>
      <c r="L31" s="58">
        <v>0.5102200856936886</v>
      </c>
      <c r="M31" s="62">
        <f>(L31/(0.512638-(0.1967*(EXP(0.00000000000654*1660000000)-1)))-1)*10000</f>
        <v>-5.3052206601866825</v>
      </c>
      <c r="N31" s="63">
        <v>2562</v>
      </c>
      <c r="O31" s="63">
        <v>2400</v>
      </c>
      <c r="P31" s="55" t="s">
        <v>84</v>
      </c>
      <c r="Q31" s="14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s="45" customFormat="1" ht="24.75" customHeight="1">
      <c r="A32" s="66" t="s">
        <v>88</v>
      </c>
      <c r="B32" s="56">
        <v>44.85</v>
      </c>
      <c r="C32" s="56">
        <v>21.35</v>
      </c>
      <c r="D32" s="66" t="s">
        <v>89</v>
      </c>
      <c r="E32" s="67">
        <v>1700</v>
      </c>
      <c r="F32" s="66" t="s">
        <v>83</v>
      </c>
      <c r="G32" s="66" t="s">
        <v>80</v>
      </c>
      <c r="H32" s="66">
        <v>0.2394</v>
      </c>
      <c r="I32" s="66">
        <v>1.418</v>
      </c>
      <c r="J32" s="65">
        <v>0.1021</v>
      </c>
      <c r="K32" s="68">
        <v>0.51142</v>
      </c>
      <c r="L32" s="58">
        <v>0.5102785184623116</v>
      </c>
      <c r="M32" s="64">
        <f>(L32/(0.512638-(0.1967*(EXP(0.00000000000654*1700000000)-1)))-1)*10000</f>
        <v>-3.141781047786285</v>
      </c>
      <c r="N32" s="60">
        <v>2400</v>
      </c>
      <c r="O32" s="60">
        <v>2200</v>
      </c>
      <c r="P32" s="55" t="s">
        <v>84</v>
      </c>
      <c r="Q32" s="14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s="45" customFormat="1" ht="24.75" customHeight="1">
      <c r="A33" s="66">
        <v>363867</v>
      </c>
      <c r="B33" s="56">
        <v>43.58</v>
      </c>
      <c r="C33" s="56">
        <v>22.83</v>
      </c>
      <c r="D33" s="66" t="s">
        <v>90</v>
      </c>
      <c r="E33" s="57" t="s">
        <v>91</v>
      </c>
      <c r="F33" s="66" t="s">
        <v>83</v>
      </c>
      <c r="G33" s="66" t="s">
        <v>80</v>
      </c>
      <c r="H33" s="66">
        <v>7.86</v>
      </c>
      <c r="I33" s="66">
        <v>41.52</v>
      </c>
      <c r="J33" s="65">
        <v>0.1144</v>
      </c>
      <c r="K33" s="68">
        <v>0.511638</v>
      </c>
      <c r="L33" s="58">
        <v>0.51107548957096</v>
      </c>
      <c r="M33" s="61">
        <v>-11.634958088890812</v>
      </c>
      <c r="N33" s="60">
        <v>2300</v>
      </c>
      <c r="O33" s="60">
        <v>2100</v>
      </c>
      <c r="P33" s="55" t="s">
        <v>84</v>
      </c>
      <c r="Q33" s="14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s="45" customFormat="1" ht="24.75" customHeight="1">
      <c r="A34" s="66">
        <v>363865</v>
      </c>
      <c r="B34" s="56">
        <v>43.97</v>
      </c>
      <c r="C34" s="56">
        <v>22.46</v>
      </c>
      <c r="D34" s="66" t="s">
        <v>92</v>
      </c>
      <c r="E34" s="57" t="s">
        <v>91</v>
      </c>
      <c r="F34" s="66" t="s">
        <v>93</v>
      </c>
      <c r="G34" s="66" t="s">
        <v>80</v>
      </c>
      <c r="H34" s="66">
        <v>8.578</v>
      </c>
      <c r="I34" s="66">
        <v>44.5</v>
      </c>
      <c r="J34" s="65">
        <v>0.1152</v>
      </c>
      <c r="K34" s="68">
        <v>0.511729</v>
      </c>
      <c r="L34" s="58">
        <v>0.5111625559315961</v>
      </c>
      <c r="M34" s="61">
        <v>-9.933349205958342</v>
      </c>
      <c r="N34" s="60">
        <v>2200</v>
      </c>
      <c r="O34" s="60">
        <v>2000</v>
      </c>
      <c r="P34" s="55" t="s">
        <v>84</v>
      </c>
      <c r="Q34" s="14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s="45" customFormat="1" ht="24.75" customHeight="1">
      <c r="A35" s="66">
        <v>363889</v>
      </c>
      <c r="B35" s="56">
        <v>44.05</v>
      </c>
      <c r="C35" s="56">
        <v>21.5833</v>
      </c>
      <c r="D35" s="66" t="s">
        <v>94</v>
      </c>
      <c r="E35" s="57" t="s">
        <v>95</v>
      </c>
      <c r="F35" s="66" t="s">
        <v>83</v>
      </c>
      <c r="G35" s="66" t="s">
        <v>80</v>
      </c>
      <c r="H35" s="66">
        <v>10.6</v>
      </c>
      <c r="I35" s="66">
        <v>53.47</v>
      </c>
      <c r="J35" s="65">
        <v>0.1199</v>
      </c>
      <c r="K35" s="68">
        <v>0.512265</v>
      </c>
      <c r="L35" s="58">
        <v>0.5116754458003331</v>
      </c>
      <c r="M35" s="61">
        <v>0.09047572750553456</v>
      </c>
      <c r="N35" s="60">
        <v>1400</v>
      </c>
      <c r="O35" s="60">
        <v>1300</v>
      </c>
      <c r="P35" s="55" t="s">
        <v>84</v>
      </c>
      <c r="Q35" s="14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s="45" customFormat="1" ht="24.75" customHeight="1">
      <c r="A36" s="66">
        <v>363882</v>
      </c>
      <c r="B36" s="56">
        <v>44.24</v>
      </c>
      <c r="C36" s="56">
        <v>21.0667</v>
      </c>
      <c r="D36" s="66" t="s">
        <v>96</v>
      </c>
      <c r="E36" s="57" t="s">
        <v>97</v>
      </c>
      <c r="F36" s="66" t="s">
        <v>98</v>
      </c>
      <c r="G36" s="66" t="s">
        <v>80</v>
      </c>
      <c r="H36" s="66">
        <v>3.148</v>
      </c>
      <c r="I36" s="66">
        <v>11.48</v>
      </c>
      <c r="J36" s="65">
        <v>0.1658</v>
      </c>
      <c r="K36" s="68">
        <v>0.512749</v>
      </c>
      <c r="L36" s="58">
        <v>0.5119838702336873</v>
      </c>
      <c r="M36" s="61">
        <v>4.955668519870393</v>
      </c>
      <c r="N36" s="60"/>
      <c r="O36" s="60"/>
      <c r="P36" s="55" t="s">
        <v>84</v>
      </c>
      <c r="Q36" s="14"/>
      <c r="R36" s="15"/>
      <c r="S36" s="16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s="45" customFormat="1" ht="24.75" customHeight="1">
      <c r="A37" s="66">
        <v>363873</v>
      </c>
      <c r="B37" s="65">
        <v>44.9333</v>
      </c>
      <c r="C37" s="65">
        <v>22.6333</v>
      </c>
      <c r="D37" s="66" t="s">
        <v>99</v>
      </c>
      <c r="E37" s="57" t="s">
        <v>100</v>
      </c>
      <c r="F37" s="66" t="s">
        <v>101</v>
      </c>
      <c r="G37" s="66" t="s">
        <v>80</v>
      </c>
      <c r="H37" s="66">
        <v>1.541</v>
      </c>
      <c r="I37" s="66">
        <v>5.864</v>
      </c>
      <c r="J37" s="65">
        <v>0.1589</v>
      </c>
      <c r="K37" s="68">
        <v>0.512761</v>
      </c>
      <c r="L37" s="58">
        <v>0.5120840783223616</v>
      </c>
      <c r="M37" s="61">
        <v>5.549624843397272</v>
      </c>
      <c r="N37" s="63">
        <v>1086</v>
      </c>
      <c r="O37" s="63">
        <v>797</v>
      </c>
      <c r="P37" s="55" t="s">
        <v>84</v>
      </c>
      <c r="Q37" s="14"/>
      <c r="R37" s="15"/>
      <c r="S37" s="16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s="45" customFormat="1" ht="24.75" customHeight="1">
      <c r="A38" s="66">
        <v>363883</v>
      </c>
      <c r="B38" s="65">
        <v>44.9167</v>
      </c>
      <c r="C38" s="65">
        <v>21.15</v>
      </c>
      <c r="D38" s="66" t="s">
        <v>82</v>
      </c>
      <c r="E38" s="67">
        <v>1660</v>
      </c>
      <c r="F38" s="66" t="s">
        <v>79</v>
      </c>
      <c r="G38" s="66" t="s">
        <v>80</v>
      </c>
      <c r="H38" s="66">
        <v>17.74</v>
      </c>
      <c r="I38" s="66">
        <v>94.48</v>
      </c>
      <c r="J38" s="65">
        <v>0.1135</v>
      </c>
      <c r="K38" s="68">
        <v>0.511459</v>
      </c>
      <c r="L38" s="68">
        <v>0.5102200856936886</v>
      </c>
      <c r="M38" s="64">
        <v>-5.3052206601866825</v>
      </c>
      <c r="N38" s="63">
        <v>2562</v>
      </c>
      <c r="O38" s="60">
        <v>2400</v>
      </c>
      <c r="P38" s="55" t="s">
        <v>84</v>
      </c>
      <c r="Q38" s="14"/>
      <c r="R38" s="15"/>
      <c r="S38" s="16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s="45" customFormat="1" ht="24.75" customHeight="1">
      <c r="A39" s="66">
        <v>363402</v>
      </c>
      <c r="B39" s="65">
        <v>43.406</v>
      </c>
      <c r="C39" s="65">
        <v>22.9392</v>
      </c>
      <c r="D39" s="66" t="s">
        <v>102</v>
      </c>
      <c r="E39" s="67">
        <v>750</v>
      </c>
      <c r="F39" s="66" t="s">
        <v>79</v>
      </c>
      <c r="G39" s="66" t="s">
        <v>80</v>
      </c>
      <c r="H39" s="66">
        <v>7.086</v>
      </c>
      <c r="I39" s="66">
        <v>42.36</v>
      </c>
      <c r="J39" s="65">
        <v>0.1011</v>
      </c>
      <c r="K39" s="68">
        <v>0.511359</v>
      </c>
      <c r="L39" s="68">
        <v>0.5108618863253851</v>
      </c>
      <c r="M39" s="64">
        <v>-15.809580496886078</v>
      </c>
      <c r="N39" s="63">
        <v>2416</v>
      </c>
      <c r="O39" s="60">
        <v>2284</v>
      </c>
      <c r="P39" s="55" t="s">
        <v>84</v>
      </c>
      <c r="Q39" s="14"/>
      <c r="R39" s="15"/>
      <c r="S39" s="16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s="45" customFormat="1" ht="24.75" customHeight="1">
      <c r="A40" s="66">
        <v>363887</v>
      </c>
      <c r="B40" s="65">
        <v>43.58</v>
      </c>
      <c r="C40" s="65">
        <v>22.83</v>
      </c>
      <c r="D40" s="66" t="s">
        <v>90</v>
      </c>
      <c r="E40" s="67">
        <v>750</v>
      </c>
      <c r="F40" s="66" t="s">
        <v>79</v>
      </c>
      <c r="G40" s="66" t="s">
        <v>80</v>
      </c>
      <c r="H40" s="66">
        <v>5.593</v>
      </c>
      <c r="I40" s="66">
        <v>27.3</v>
      </c>
      <c r="J40" s="65">
        <v>0.1251</v>
      </c>
      <c r="K40" s="68">
        <v>0.511833</v>
      </c>
      <c r="L40" s="68">
        <v>0.5112178771444676</v>
      </c>
      <c r="M40" s="64">
        <v>-8.852161631914823</v>
      </c>
      <c r="N40" s="63">
        <v>2260</v>
      </c>
      <c r="O40" s="60">
        <v>2082</v>
      </c>
      <c r="P40" s="55" t="s">
        <v>84</v>
      </c>
      <c r="Q40" s="14"/>
      <c r="R40" s="15"/>
      <c r="S40" s="16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s="45" customFormat="1" ht="24.75" customHeight="1">
      <c r="A41" s="66">
        <v>363865</v>
      </c>
      <c r="B41" s="65">
        <v>43.97</v>
      </c>
      <c r="C41" s="65">
        <v>22.46</v>
      </c>
      <c r="D41" s="66" t="s">
        <v>92</v>
      </c>
      <c r="E41" s="67">
        <v>750</v>
      </c>
      <c r="F41" s="66" t="s">
        <v>79</v>
      </c>
      <c r="G41" s="66" t="s">
        <v>80</v>
      </c>
      <c r="H41" s="66">
        <v>8.578</v>
      </c>
      <c r="I41" s="66">
        <v>44.5</v>
      </c>
      <c r="J41" s="65">
        <v>0.1152</v>
      </c>
      <c r="K41" s="68">
        <v>0.511729</v>
      </c>
      <c r="L41" s="68">
        <v>0.5111625559315961</v>
      </c>
      <c r="M41" s="64">
        <v>-9.933349205958342</v>
      </c>
      <c r="N41" s="63">
        <v>2193</v>
      </c>
      <c r="O41" s="60">
        <v>2033</v>
      </c>
      <c r="P41" s="55" t="s">
        <v>84</v>
      </c>
      <c r="Q41" s="14"/>
      <c r="R41" s="15"/>
      <c r="S41" s="16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s="45" customFormat="1" ht="24.75" customHeight="1">
      <c r="A42" s="66">
        <v>363890</v>
      </c>
      <c r="B42" s="65">
        <v>37.7</v>
      </c>
      <c r="C42" s="65">
        <v>25.05</v>
      </c>
      <c r="D42" s="66" t="s">
        <v>103</v>
      </c>
      <c r="E42" s="67">
        <v>700</v>
      </c>
      <c r="F42" s="66" t="s">
        <v>79</v>
      </c>
      <c r="G42" s="66" t="s">
        <v>80</v>
      </c>
      <c r="H42" s="66">
        <v>10.6</v>
      </c>
      <c r="I42" s="66">
        <v>53.47</v>
      </c>
      <c r="J42" s="65">
        <v>0.1199</v>
      </c>
      <c r="K42" s="68">
        <v>0.512265</v>
      </c>
      <c r="L42" s="68">
        <v>0.5116754458003331</v>
      </c>
      <c r="M42" s="64">
        <v>-0.41</v>
      </c>
      <c r="N42" s="63">
        <v>1439</v>
      </c>
      <c r="O42" s="60">
        <v>1262</v>
      </c>
      <c r="P42" s="55" t="s">
        <v>84</v>
      </c>
      <c r="Q42" s="14"/>
      <c r="R42" s="15"/>
      <c r="S42" s="16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s="45" customFormat="1" ht="24.75" customHeight="1">
      <c r="A43" s="66">
        <v>175408</v>
      </c>
      <c r="B43" s="65">
        <v>37.9252</v>
      </c>
      <c r="C43" s="65">
        <v>25.2273</v>
      </c>
      <c r="D43" s="66" t="s">
        <v>104</v>
      </c>
      <c r="E43" s="67">
        <v>743</v>
      </c>
      <c r="F43" s="66" t="s">
        <v>105</v>
      </c>
      <c r="G43" s="66" t="s">
        <v>80</v>
      </c>
      <c r="H43" s="66">
        <v>1.791</v>
      </c>
      <c r="I43" s="66">
        <v>5.137</v>
      </c>
      <c r="J43" s="65">
        <v>0.2107</v>
      </c>
      <c r="K43" s="68">
        <v>0.513087</v>
      </c>
      <c r="L43" s="68">
        <f>K43-J43*(EXP(0.00000000000654*743000000)-1)</f>
        <v>0.5120606707857523</v>
      </c>
      <c r="M43" s="64">
        <f>(L43/(0.512638-(0.1967*(EXP(0.00000000000654*743000000)-1)))-1)*10000</f>
        <v>7.4422582079325394</v>
      </c>
      <c r="N43" s="63"/>
      <c r="O43" s="60"/>
      <c r="P43" s="55" t="s">
        <v>106</v>
      </c>
      <c r="Q43" s="14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s="45" customFormat="1" ht="24.75" customHeight="1">
      <c r="A44" s="66">
        <v>175403</v>
      </c>
      <c r="B44" s="65">
        <v>37.7004</v>
      </c>
      <c r="C44" s="65">
        <v>26.3728</v>
      </c>
      <c r="D44" s="66" t="s">
        <v>107</v>
      </c>
      <c r="E44" s="67">
        <v>761</v>
      </c>
      <c r="F44" s="66" t="s">
        <v>105</v>
      </c>
      <c r="G44" s="66" t="s">
        <v>80</v>
      </c>
      <c r="H44" s="66">
        <v>0.4383</v>
      </c>
      <c r="I44" s="66">
        <v>0.81</v>
      </c>
      <c r="J44" s="65">
        <v>0.3271</v>
      </c>
      <c r="K44" s="68">
        <v>0.513635</v>
      </c>
      <c r="L44" s="68">
        <f>K44-J44*(EXP(0.00000000000654*761000000)-1)</f>
        <v>0.5120029850745587</v>
      </c>
      <c r="M44" s="64">
        <f>(L44/(0.512638-(0.1967*(EXP(0.00000000000654*761000000)-1)))-1)*10000</f>
        <v>6.769957521295389</v>
      </c>
      <c r="N44" s="63"/>
      <c r="O44" s="60"/>
      <c r="P44" s="55" t="s">
        <v>106</v>
      </c>
      <c r="Q44" s="14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s="45" customFormat="1" ht="24.75" customHeight="1">
      <c r="A45" s="66">
        <v>175578</v>
      </c>
      <c r="B45" s="65">
        <v>37.7004</v>
      </c>
      <c r="C45" s="65">
        <v>26.3728</v>
      </c>
      <c r="D45" s="66" t="s">
        <v>108</v>
      </c>
      <c r="E45" s="57" t="s">
        <v>238</v>
      </c>
      <c r="F45" s="66" t="s">
        <v>105</v>
      </c>
      <c r="G45" s="66" t="s">
        <v>80</v>
      </c>
      <c r="H45" s="66">
        <v>1.322</v>
      </c>
      <c r="I45" s="66">
        <v>4.244</v>
      </c>
      <c r="J45" s="65">
        <v>0.1882</v>
      </c>
      <c r="K45" s="68">
        <v>0.512935</v>
      </c>
      <c r="L45" s="68">
        <f>K45-J45*(EXP(0.00000000000654*780000000)-1)</f>
        <v>0.5119725012980076</v>
      </c>
      <c r="M45" s="64">
        <f>(L45/(0.512638-(0.1967*(EXP(0.00000000000654*780000000)-1)))-1)*10000</f>
        <v>6.654606487621617</v>
      </c>
      <c r="N45" s="63"/>
      <c r="O45" s="60"/>
      <c r="P45" s="55" t="s">
        <v>106</v>
      </c>
      <c r="Q45" s="14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s="45" customFormat="1" ht="24.75" customHeight="1">
      <c r="A46" s="55">
        <v>184417</v>
      </c>
      <c r="B46" s="65">
        <v>44.77</v>
      </c>
      <c r="C46" s="65">
        <v>23.81</v>
      </c>
      <c r="D46" s="55" t="s">
        <v>109</v>
      </c>
      <c r="E46" s="55">
        <v>598</v>
      </c>
      <c r="F46" s="55" t="s">
        <v>110</v>
      </c>
      <c r="G46" s="66" t="s">
        <v>80</v>
      </c>
      <c r="H46" s="59">
        <v>6.4238</v>
      </c>
      <c r="I46" s="59">
        <v>28.854</v>
      </c>
      <c r="J46" s="56">
        <v>0.1346307</v>
      </c>
      <c r="K46" s="58">
        <v>0.5125493</v>
      </c>
      <c r="L46" s="58">
        <f>K46-J46*(EXP(0.00000000000654*598000000)-1)</f>
        <v>0.5120217391510513</v>
      </c>
      <c r="M46" s="61">
        <f>(L46/(0.512638-(0.1967*(EXP(0.00000000000654*598000000)-1)))-1)*10000</f>
        <v>3.018817489173209</v>
      </c>
      <c r="N46" s="60">
        <v>1200</v>
      </c>
      <c r="O46" s="60">
        <v>1000</v>
      </c>
      <c r="P46" s="55" t="s">
        <v>111</v>
      </c>
      <c r="Q46" s="14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s="45" customFormat="1" ht="24.75" customHeight="1">
      <c r="A47" s="55">
        <v>184418</v>
      </c>
      <c r="B47" s="56">
        <v>44.77</v>
      </c>
      <c r="C47" s="65">
        <v>23.81</v>
      </c>
      <c r="D47" s="55" t="s">
        <v>109</v>
      </c>
      <c r="E47" s="55">
        <v>598</v>
      </c>
      <c r="F47" s="55" t="s">
        <v>110</v>
      </c>
      <c r="G47" s="66" t="s">
        <v>80</v>
      </c>
      <c r="H47" s="59">
        <v>18.42497</v>
      </c>
      <c r="I47" s="59">
        <v>84.42577</v>
      </c>
      <c r="J47" s="56">
        <v>0.131973826</v>
      </c>
      <c r="K47" s="58">
        <v>0.5125646</v>
      </c>
      <c r="L47" s="58">
        <f>K47-J47*(EXP(0.00000000000654*598000000)-1)</f>
        <v>0.512047450318066</v>
      </c>
      <c r="M47" s="61">
        <f>(L47/(0.512638-(0.1967*(EXP(0.00000000000654*598000000)-1)))-1)*10000</f>
        <v>3.5211189888983974</v>
      </c>
      <c r="N47" s="60">
        <v>1100</v>
      </c>
      <c r="O47" s="60">
        <v>900</v>
      </c>
      <c r="P47" s="55" t="s">
        <v>111</v>
      </c>
      <c r="Q47" s="14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s="45" customFormat="1" ht="24.75" customHeight="1">
      <c r="A48" s="55">
        <v>184435</v>
      </c>
      <c r="B48" s="56">
        <v>43.6</v>
      </c>
      <c r="C48" s="56">
        <v>25.33</v>
      </c>
      <c r="D48" s="55" t="s">
        <v>109</v>
      </c>
      <c r="E48" s="55" t="s">
        <v>245</v>
      </c>
      <c r="F48" s="55" t="s">
        <v>110</v>
      </c>
      <c r="G48" s="66" t="s">
        <v>80</v>
      </c>
      <c r="H48" s="59">
        <v>1.4703</v>
      </c>
      <c r="I48" s="59">
        <v>4.28366</v>
      </c>
      <c r="J48" s="56">
        <v>0.2075734</v>
      </c>
      <c r="K48" s="58">
        <v>0.5128181</v>
      </c>
      <c r="L48" s="58">
        <f>K48-J48*(EXP(0.00000000000654*584000000)-1)</f>
        <v>0.5120237865400356</v>
      </c>
      <c r="M48" s="61">
        <f>(L48/(0.512638-(0.1967*(EXP(0.00000000000654*584000000)-1)))-1)*10000</f>
        <v>2.7055116300744864</v>
      </c>
      <c r="N48" s="61"/>
      <c r="O48" s="61"/>
      <c r="P48" s="55" t="s">
        <v>111</v>
      </c>
      <c r="Q48" s="14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s="45" customFormat="1" ht="24.75" customHeight="1">
      <c r="A49" s="55">
        <v>155019</v>
      </c>
      <c r="B49" s="56">
        <v>42.79</v>
      </c>
      <c r="C49" s="56">
        <v>25.58</v>
      </c>
      <c r="D49" s="55" t="s">
        <v>112</v>
      </c>
      <c r="E49" s="55" t="s">
        <v>246</v>
      </c>
      <c r="F49" s="55" t="s">
        <v>110</v>
      </c>
      <c r="G49" s="66" t="s">
        <v>80</v>
      </c>
      <c r="H49" s="59">
        <v>9.37874</v>
      </c>
      <c r="I49" s="59">
        <v>43.37948</v>
      </c>
      <c r="J49" s="56">
        <v>0.130742365</v>
      </c>
      <c r="K49" s="58">
        <v>0.5125655</v>
      </c>
      <c r="L49" s="58">
        <f>K49-J49*(EXP(0.00000000000654*574000000)-1)</f>
        <v>0.5120737760128518</v>
      </c>
      <c r="M49" s="61">
        <f>(L49/(0.512638-(0.1967*(EXP(0.00000000000654*574000000)-1)))-1)*10000</f>
        <v>3.429737539923927</v>
      </c>
      <c r="N49" s="60">
        <v>1100</v>
      </c>
      <c r="O49" s="60">
        <v>900</v>
      </c>
      <c r="P49" s="55" t="s">
        <v>111</v>
      </c>
      <c r="Q49" s="14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s="45" customFormat="1" ht="24.75" customHeight="1">
      <c r="A50" s="55">
        <v>155025</v>
      </c>
      <c r="B50" s="56">
        <v>42.77</v>
      </c>
      <c r="C50" s="56">
        <v>25.5</v>
      </c>
      <c r="D50" s="55" t="s">
        <v>112</v>
      </c>
      <c r="E50" s="55" t="s">
        <v>247</v>
      </c>
      <c r="F50" s="55" t="s">
        <v>110</v>
      </c>
      <c r="G50" s="66" t="s">
        <v>80</v>
      </c>
      <c r="H50" s="59">
        <v>5.97707</v>
      </c>
      <c r="I50" s="59">
        <v>30.46119</v>
      </c>
      <c r="J50" s="56">
        <v>0.1186573</v>
      </c>
      <c r="K50" s="58">
        <v>0.5125345</v>
      </c>
      <c r="L50" s="58">
        <f>K50-J50*(EXP(0.00000000000654*574000000)-1)</f>
        <v>0.5120882281227838</v>
      </c>
      <c r="M50" s="61">
        <f>(L50/(0.512638-(0.1967*(EXP(0.00000000000654*574000000)-1)))-1)*10000</f>
        <v>3.712061441354386</v>
      </c>
      <c r="N50" s="60">
        <v>1000</v>
      </c>
      <c r="O50" s="60">
        <v>800</v>
      </c>
      <c r="P50" s="55" t="s">
        <v>111</v>
      </c>
      <c r="Q50" s="14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s="45" customFormat="1" ht="24.75" customHeight="1">
      <c r="A51" s="55">
        <v>155029</v>
      </c>
      <c r="B51" s="56">
        <v>42.75</v>
      </c>
      <c r="C51" s="56">
        <v>25.45</v>
      </c>
      <c r="D51" s="55" t="s">
        <v>112</v>
      </c>
      <c r="E51" s="55" t="s">
        <v>246</v>
      </c>
      <c r="F51" s="55" t="s">
        <v>110</v>
      </c>
      <c r="G51" s="66" t="s">
        <v>80</v>
      </c>
      <c r="H51" s="59">
        <v>4.82909</v>
      </c>
      <c r="I51" s="59">
        <v>26.92166</v>
      </c>
      <c r="J51" s="56">
        <v>0.108470802</v>
      </c>
      <c r="K51" s="58">
        <v>0.5125007</v>
      </c>
      <c r="L51" s="58">
        <f>K51-J51*(EXP(0.00000000000654*574000000)-1)</f>
        <v>0.5120927396938774</v>
      </c>
      <c r="M51" s="61">
        <f>(L51/(0.512638-(0.1967*(EXP(0.00000000000654*574000000)-1)))-1)*10000</f>
        <v>3.800195586383115</v>
      </c>
      <c r="N51" s="60">
        <v>900</v>
      </c>
      <c r="O51" s="60">
        <v>800</v>
      </c>
      <c r="P51" s="55" t="s">
        <v>111</v>
      </c>
      <c r="Q51" s="14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s="45" customFormat="1" ht="24.75" customHeight="1">
      <c r="A52" s="55">
        <v>155016</v>
      </c>
      <c r="B52" s="56">
        <v>42.96</v>
      </c>
      <c r="C52" s="56">
        <v>25.75</v>
      </c>
      <c r="D52" s="55" t="s">
        <v>112</v>
      </c>
      <c r="E52" s="55" t="s">
        <v>248</v>
      </c>
      <c r="F52" s="55" t="s">
        <v>110</v>
      </c>
      <c r="G52" s="66" t="s">
        <v>80</v>
      </c>
      <c r="H52" s="59">
        <v>17.264</v>
      </c>
      <c r="I52" s="59">
        <v>89.956</v>
      </c>
      <c r="J52" s="56">
        <v>0.11606</v>
      </c>
      <c r="K52" s="58">
        <v>0.5125091</v>
      </c>
      <c r="L52" s="58">
        <f>K52-J52*(EXP(0.00000000000654*574000000)-1)</f>
        <v>0.5120725966068694</v>
      </c>
      <c r="M52" s="61">
        <f>(L52/(0.512638-(0.1967*(EXP(0.00000000000654*574000000)-1)))-1)*10000</f>
        <v>3.4066976862368037</v>
      </c>
      <c r="N52" s="60">
        <v>1000</v>
      </c>
      <c r="O52" s="60">
        <v>800</v>
      </c>
      <c r="P52" s="55" t="s">
        <v>111</v>
      </c>
      <c r="Q52" s="14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s="45" customFormat="1" ht="24.75" customHeight="1">
      <c r="A53" s="55">
        <v>184420</v>
      </c>
      <c r="B53" s="56">
        <v>43.79</v>
      </c>
      <c r="C53" s="56">
        <v>23.16</v>
      </c>
      <c r="D53" s="55" t="s">
        <v>112</v>
      </c>
      <c r="E53" s="55" t="s">
        <v>249</v>
      </c>
      <c r="F53" s="55" t="s">
        <v>110</v>
      </c>
      <c r="G53" s="66" t="s">
        <v>80</v>
      </c>
      <c r="H53" s="59">
        <v>8.66418</v>
      </c>
      <c r="I53" s="59">
        <v>21.59168</v>
      </c>
      <c r="J53" s="56">
        <v>0.242683321</v>
      </c>
      <c r="K53" s="58">
        <v>0.5129855</v>
      </c>
      <c r="L53" s="58">
        <f>K53-J53*(EXP(0.00000000000654*567000000)-1)</f>
        <v>0.5120839159779245</v>
      </c>
      <c r="M53" s="61">
        <f>(L53/(0.512638-(0.1967*(EXP(0.00000000000654*567000000)-1)))-1)*10000</f>
        <v>3.4511921748170415</v>
      </c>
      <c r="N53" s="55"/>
      <c r="O53" s="55"/>
      <c r="P53" s="55" t="s">
        <v>111</v>
      </c>
      <c r="Q53" s="14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s="45" customFormat="1" ht="24.75" customHeight="1">
      <c r="A54" s="55">
        <v>155034</v>
      </c>
      <c r="B54" s="56">
        <v>42.334</v>
      </c>
      <c r="C54" s="56">
        <v>26.004</v>
      </c>
      <c r="D54" s="55" t="s">
        <v>112</v>
      </c>
      <c r="E54" s="55" t="s">
        <v>250</v>
      </c>
      <c r="F54" s="55" t="s">
        <v>110</v>
      </c>
      <c r="G54" s="66" t="s">
        <v>80</v>
      </c>
      <c r="H54" s="59">
        <v>7.29383</v>
      </c>
      <c r="I54" s="59">
        <v>29.18345</v>
      </c>
      <c r="J54" s="56">
        <v>0.151142</v>
      </c>
      <c r="K54" s="58">
        <v>0.5126696</v>
      </c>
      <c r="L54" s="58">
        <f>K54-J54*(EXP(0.00000000000654*579000000)-1)</f>
        <v>0.5120961916682484</v>
      </c>
      <c r="M54" s="61">
        <f>(L54/(0.512638-(0.1967*(EXP(0.00000000000654*579000000)-1)))-1)*10000</f>
        <v>3.993807119171411</v>
      </c>
      <c r="N54" s="60">
        <v>1174</v>
      </c>
      <c r="O54" s="55">
        <v>918</v>
      </c>
      <c r="P54" s="55" t="s">
        <v>111</v>
      </c>
      <c r="Q54" s="14"/>
      <c r="R54" s="15"/>
      <c r="S54" s="16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s="45" customFormat="1" ht="24.75" customHeight="1">
      <c r="A55" s="55">
        <v>175612</v>
      </c>
      <c r="B55" s="56">
        <v>45.118</v>
      </c>
      <c r="C55" s="56">
        <v>23.085</v>
      </c>
      <c r="D55" s="55" t="s">
        <v>113</v>
      </c>
      <c r="E55" s="55" t="s">
        <v>251</v>
      </c>
      <c r="F55" s="55" t="s">
        <v>114</v>
      </c>
      <c r="G55" s="66" t="s">
        <v>80</v>
      </c>
      <c r="H55" s="59">
        <v>2.5</v>
      </c>
      <c r="I55" s="59">
        <v>10.22</v>
      </c>
      <c r="J55" s="56">
        <v>0.148</v>
      </c>
      <c r="K55" s="58">
        <v>0.512655</v>
      </c>
      <c r="L55" s="58">
        <f>K55-J55*(EXP(0.00000000000654*626000000)-1)</f>
        <v>0.5120478400595173</v>
      </c>
      <c r="M55" s="61">
        <f>(L55/(0.512638-(0.1967*(EXP(0.00000000000654*629000000)-1)))-1)*10000</f>
        <v>4.31129049707657</v>
      </c>
      <c r="N55" s="60">
        <v>1151</v>
      </c>
      <c r="O55" s="55">
        <v>908</v>
      </c>
      <c r="P55" s="55" t="s">
        <v>111</v>
      </c>
      <c r="Q55" s="14"/>
      <c r="R55" s="15"/>
      <c r="S55" s="16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s="45" customFormat="1" ht="24.75" customHeight="1">
      <c r="A56" s="55">
        <v>175608</v>
      </c>
      <c r="B56" s="56">
        <v>44.72</v>
      </c>
      <c r="C56" s="56">
        <v>22.098</v>
      </c>
      <c r="D56" s="55" t="s">
        <v>115</v>
      </c>
      <c r="E56" s="55" t="s">
        <v>252</v>
      </c>
      <c r="F56" s="55" t="s">
        <v>83</v>
      </c>
      <c r="G56" s="66" t="s">
        <v>80</v>
      </c>
      <c r="H56" s="59">
        <v>9.27</v>
      </c>
      <c r="I56" s="59">
        <v>30.62</v>
      </c>
      <c r="J56" s="56">
        <v>0.183</v>
      </c>
      <c r="K56" s="58">
        <v>0.512706</v>
      </c>
      <c r="L56" s="58">
        <f>K56-J56*(EXP(0.00000000000654*614000000)-1)</f>
        <v>0.5119696751310739</v>
      </c>
      <c r="M56" s="61">
        <f>(L56/(0.512638-(0.1967*(EXP(0.00000000000654*613000000)-1)))-1)*10000</f>
        <v>2.3802422178520466</v>
      </c>
      <c r="N56" s="55"/>
      <c r="O56" s="55"/>
      <c r="P56" s="55" t="s">
        <v>111</v>
      </c>
      <c r="Q56" s="14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s="45" customFormat="1" ht="24.75" customHeight="1">
      <c r="A57" s="55">
        <v>175609</v>
      </c>
      <c r="B57" s="56">
        <v>44.748</v>
      </c>
      <c r="C57" s="56">
        <v>22.208</v>
      </c>
      <c r="D57" s="55" t="s">
        <v>113</v>
      </c>
      <c r="E57" s="55" t="s">
        <v>253</v>
      </c>
      <c r="F57" s="55" t="s">
        <v>83</v>
      </c>
      <c r="G57" s="66" t="s">
        <v>80</v>
      </c>
      <c r="H57" s="59">
        <v>5.07</v>
      </c>
      <c r="I57" s="59">
        <v>23.25</v>
      </c>
      <c r="J57" s="56">
        <v>0.132</v>
      </c>
      <c r="K57" s="58">
        <v>0.51242</v>
      </c>
      <c r="L57" s="58">
        <f>K57-J57*(EXP(0.00000000000654*645000000)-1)</f>
        <v>0.5118620083392997</v>
      </c>
      <c r="M57" s="61">
        <f>(L57/(0.512638-(0.1967*(EXP(0.00000000000654*645000000)-1)))-1)*10000</f>
        <v>1.084403130466871</v>
      </c>
      <c r="N57" s="60">
        <v>1363</v>
      </c>
      <c r="O57" s="55">
        <v>1162</v>
      </c>
      <c r="P57" s="55" t="s">
        <v>111</v>
      </c>
      <c r="Q57" s="14"/>
      <c r="R57" s="15"/>
      <c r="S57" s="16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s="45" customFormat="1" ht="24.75" customHeight="1">
      <c r="A58" s="55">
        <v>155101</v>
      </c>
      <c r="B58" s="56">
        <v>41.31</v>
      </c>
      <c r="C58" s="56">
        <v>27.27</v>
      </c>
      <c r="D58" s="55" t="s">
        <v>116</v>
      </c>
      <c r="E58" s="55" t="s">
        <v>254</v>
      </c>
      <c r="F58" s="55" t="s">
        <v>110</v>
      </c>
      <c r="G58" s="66" t="s">
        <v>80</v>
      </c>
      <c r="H58" s="59">
        <v>6.24716</v>
      </c>
      <c r="I58" s="59">
        <v>29.36826</v>
      </c>
      <c r="J58" s="56">
        <v>0.128637156</v>
      </c>
      <c r="K58" s="58">
        <v>0.5126245</v>
      </c>
      <c r="L58" s="58">
        <f>K58-J58*(EXP(0.00000000000654*566000000)-1)</f>
        <v>0.5121474491673601</v>
      </c>
      <c r="M58" s="61">
        <f>(L58/(0.512638-(0.1967*(EXP(0.00000000000654*566000000)-1)))-1)*10000</f>
        <v>4.667064665309084</v>
      </c>
      <c r="N58" s="60">
        <v>944</v>
      </c>
      <c r="O58" s="60">
        <v>762</v>
      </c>
      <c r="P58" s="55" t="s">
        <v>111</v>
      </c>
      <c r="Q58" s="14"/>
      <c r="R58" s="15"/>
      <c r="S58" s="16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s="45" customFormat="1" ht="24.75" customHeight="1">
      <c r="A59" s="55">
        <v>155116</v>
      </c>
      <c r="B59" s="56">
        <v>41.35</v>
      </c>
      <c r="C59" s="56">
        <v>27.41</v>
      </c>
      <c r="D59" s="55" t="s">
        <v>116</v>
      </c>
      <c r="E59" s="55">
        <v>566</v>
      </c>
      <c r="F59" s="55" t="s">
        <v>110</v>
      </c>
      <c r="G59" s="66" t="s">
        <v>80</v>
      </c>
      <c r="H59" s="59">
        <v>12.93009</v>
      </c>
      <c r="I59" s="59">
        <v>68.00955</v>
      </c>
      <c r="J59" s="56">
        <v>0.114971381</v>
      </c>
      <c r="K59" s="58">
        <v>0.5125862</v>
      </c>
      <c r="L59" s="58">
        <f>K59-J59*(EXP(0.00000000000654*566000000)-1)</f>
        <v>0.5121598286875324</v>
      </c>
      <c r="M59" s="61">
        <f>(L59/(0.512638-(0.1967*(EXP(0.00000000000654*566000000)-1)))-1)*10000</f>
        <v>4.908895368449517</v>
      </c>
      <c r="N59" s="60">
        <v>873</v>
      </c>
      <c r="O59" s="60">
        <v>717</v>
      </c>
      <c r="P59" s="55" t="s">
        <v>111</v>
      </c>
      <c r="Q59" s="14"/>
      <c r="R59" s="15"/>
      <c r="S59" s="16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s="45" customFormat="1" ht="24.75" customHeight="1">
      <c r="A60" s="55">
        <v>155128</v>
      </c>
      <c r="B60" s="56">
        <v>41.53</v>
      </c>
      <c r="C60" s="56">
        <v>27.54</v>
      </c>
      <c r="D60" s="55" t="s">
        <v>116</v>
      </c>
      <c r="E60" s="55" t="s">
        <v>255</v>
      </c>
      <c r="F60" s="55" t="s">
        <v>110</v>
      </c>
      <c r="G60" s="66" t="s">
        <v>80</v>
      </c>
      <c r="H60" s="59">
        <v>4.45553</v>
      </c>
      <c r="I60" s="59">
        <v>21.57189</v>
      </c>
      <c r="J60" s="56">
        <v>0.124901705</v>
      </c>
      <c r="K60" s="58">
        <v>0.5125944</v>
      </c>
      <c r="L60" s="58">
        <f>K60-J60*(EXP(0.00000000000654*566000000)-1)</f>
        <v>0.51213120208564</v>
      </c>
      <c r="M60" s="61">
        <f>(L60/(0.512638-(0.1967*(EXP(0.00000000000654*566000000)-1)))-1)*10000</f>
        <v>4.349682154380918</v>
      </c>
      <c r="N60" s="60">
        <v>956</v>
      </c>
      <c r="O60" s="60">
        <v>781</v>
      </c>
      <c r="P60" s="55" t="s">
        <v>111</v>
      </c>
      <c r="Q60" s="14"/>
      <c r="R60" s="15"/>
      <c r="S60" s="16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s="45" customFormat="1" ht="24.75" customHeight="1">
      <c r="A61" s="55">
        <v>184374</v>
      </c>
      <c r="B61" s="56">
        <v>40.68</v>
      </c>
      <c r="C61" s="56">
        <v>24.36</v>
      </c>
      <c r="D61" s="55" t="s">
        <v>117</v>
      </c>
      <c r="E61" s="55">
        <v>584</v>
      </c>
      <c r="F61" s="55" t="s">
        <v>118</v>
      </c>
      <c r="G61" s="66" t="s">
        <v>80</v>
      </c>
      <c r="H61" s="59">
        <v>3.1371</v>
      </c>
      <c r="I61" s="59">
        <v>14.8048</v>
      </c>
      <c r="J61" s="56">
        <v>0.12814</v>
      </c>
      <c r="K61" s="58">
        <v>0.5126311</v>
      </c>
      <c r="L61" s="58">
        <f>K61-J61*(EXP(0.00000000000654*584000000)-1)</f>
        <v>0.5121407513967596</v>
      </c>
      <c r="M61" s="61">
        <f>(L61/(0.512638-(0.1967*(EXP(0.00000000000654*584000000)-1)))-1)*10000</f>
        <v>4.990493398064899</v>
      </c>
      <c r="N61" s="60">
        <v>927</v>
      </c>
      <c r="O61" s="60">
        <v>746</v>
      </c>
      <c r="P61" s="55" t="s">
        <v>111</v>
      </c>
      <c r="Q61" s="14"/>
      <c r="R61" s="15"/>
      <c r="S61" s="16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s="45" customFormat="1" ht="24.75" customHeight="1">
      <c r="A62" s="55">
        <v>155083</v>
      </c>
      <c r="B62" s="56">
        <v>40.62</v>
      </c>
      <c r="C62" s="56">
        <v>25.28</v>
      </c>
      <c r="D62" s="55" t="s">
        <v>119</v>
      </c>
      <c r="E62" s="55" t="s">
        <v>256</v>
      </c>
      <c r="F62" s="55" t="s">
        <v>118</v>
      </c>
      <c r="G62" s="66" t="s">
        <v>80</v>
      </c>
      <c r="H62" s="59">
        <v>8.69363</v>
      </c>
      <c r="I62" s="59">
        <v>44.541</v>
      </c>
      <c r="J62" s="56">
        <v>0.1180317</v>
      </c>
      <c r="K62" s="58">
        <v>0.5125754</v>
      </c>
      <c r="L62" s="58">
        <f>K62-J62*(EXP(0.00000000000654*610000000)-1)</f>
        <v>0.5121035838300642</v>
      </c>
      <c r="M62" s="61">
        <f>(L62/(0.512638-(0.1967*(EXP(0.00000000000654*610000000)-1)))-1)*10000</f>
        <v>4.920686126803631</v>
      </c>
      <c r="N62" s="60">
        <v>918</v>
      </c>
      <c r="O62" s="60">
        <v>756</v>
      </c>
      <c r="P62" s="55" t="s">
        <v>111</v>
      </c>
      <c r="Q62" s="14"/>
      <c r="R62" s="15"/>
      <c r="S62" s="16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s="45" customFormat="1" ht="24.75" customHeight="1">
      <c r="A63" s="55">
        <v>155630</v>
      </c>
      <c r="B63" s="56">
        <v>41.13</v>
      </c>
      <c r="C63" s="56">
        <v>20.42</v>
      </c>
      <c r="D63" s="55" t="s">
        <v>120</v>
      </c>
      <c r="E63" s="55" t="s">
        <v>257</v>
      </c>
      <c r="F63" s="55" t="s">
        <v>118</v>
      </c>
      <c r="G63" s="66" t="s">
        <v>80</v>
      </c>
      <c r="H63" s="59">
        <v>2.74817</v>
      </c>
      <c r="I63" s="59">
        <v>15.30687</v>
      </c>
      <c r="J63" s="56">
        <v>0.10857</v>
      </c>
      <c r="K63" s="58">
        <v>0.5125442</v>
      </c>
      <c r="L63" s="58">
        <f>K63-J63*(EXP(0.00000000000654*657000000)-1)</f>
        <v>0.5120766949314546</v>
      </c>
      <c r="M63" s="61">
        <f>(L63/(0.512638-(0.1967*(EXP(0.00000000000654*657000000)-1)))-1)*10000</f>
        <v>5.582160044304008</v>
      </c>
      <c r="N63" s="60">
        <v>881</v>
      </c>
      <c r="O63" s="60">
        <v>734</v>
      </c>
      <c r="P63" s="55" t="s">
        <v>111</v>
      </c>
      <c r="Q63" s="14"/>
      <c r="R63" s="15"/>
      <c r="S63" s="16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s="45" customFormat="1" ht="24.75" customHeight="1">
      <c r="A64" s="55">
        <v>155633</v>
      </c>
      <c r="B64" s="56">
        <v>41.36</v>
      </c>
      <c r="C64" s="56">
        <v>20.93</v>
      </c>
      <c r="D64" s="55" t="s">
        <v>120</v>
      </c>
      <c r="E64" s="55" t="s">
        <v>121</v>
      </c>
      <c r="F64" s="55" t="s">
        <v>118</v>
      </c>
      <c r="G64" s="66" t="s">
        <v>80</v>
      </c>
      <c r="H64" s="59">
        <v>6.974</v>
      </c>
      <c r="I64" s="59">
        <v>39.624</v>
      </c>
      <c r="J64" s="56">
        <v>0.106439</v>
      </c>
      <c r="K64" s="58">
        <v>0.5125381</v>
      </c>
      <c r="L64" s="58">
        <f>K64-J64*(EXP(0.00000000000654*620000000)-1)</f>
        <v>0.5121056349556967</v>
      </c>
      <c r="M64" s="61">
        <f>(L64/(0.512638-(0.1967*(EXP(0.00000000000654*620000000)-1)))-1)*10000</f>
        <v>5.2132295285400865</v>
      </c>
      <c r="N64" s="60">
        <v>872</v>
      </c>
      <c r="O64" s="60">
        <v>728</v>
      </c>
      <c r="P64" s="55" t="s">
        <v>111</v>
      </c>
      <c r="Q64" s="14"/>
      <c r="R64" s="15"/>
      <c r="S64" s="16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s="45" customFormat="1" ht="24.75" customHeight="1">
      <c r="A65" s="55">
        <v>155541</v>
      </c>
      <c r="B65" s="56">
        <v>44</v>
      </c>
      <c r="C65" s="56">
        <v>17.56</v>
      </c>
      <c r="D65" s="55" t="s">
        <v>122</v>
      </c>
      <c r="E65" s="55">
        <v>617</v>
      </c>
      <c r="F65" s="55" t="s">
        <v>118</v>
      </c>
      <c r="G65" s="66" t="s">
        <v>80</v>
      </c>
      <c r="H65" s="59">
        <v>14.839</v>
      </c>
      <c r="I65" s="59">
        <v>80.2897</v>
      </c>
      <c r="J65" s="56">
        <v>0.1117623</v>
      </c>
      <c r="K65" s="58">
        <v>0.5125333</v>
      </c>
      <c r="L65" s="58">
        <f>K65-J65*(EXP(0.00000000000654*617000000)-1)</f>
        <v>0.5120814078824362</v>
      </c>
      <c r="M65" s="61">
        <f>(L65/(0.512638-(0.1967*(EXP(0.00000000000654*617000000)-1)))-1)*10000</f>
        <v>4.664154766309547</v>
      </c>
      <c r="N65" s="60">
        <v>924</v>
      </c>
      <c r="O65" s="60">
        <v>772</v>
      </c>
      <c r="P65" s="55" t="s">
        <v>111</v>
      </c>
      <c r="Q65" s="14"/>
      <c r="R65" s="15"/>
      <c r="S65" s="16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s="45" customFormat="1" ht="24.75" customHeight="1">
      <c r="A66" s="55">
        <v>155544</v>
      </c>
      <c r="B66" s="56">
        <v>44.2</v>
      </c>
      <c r="C66" s="56">
        <v>18.01</v>
      </c>
      <c r="D66" s="55" t="s">
        <v>122</v>
      </c>
      <c r="E66" s="55">
        <v>637</v>
      </c>
      <c r="F66" s="55" t="s">
        <v>118</v>
      </c>
      <c r="G66" s="66" t="s">
        <v>80</v>
      </c>
      <c r="H66" s="59">
        <v>4.474</v>
      </c>
      <c r="I66" s="59">
        <v>24.24</v>
      </c>
      <c r="J66" s="56">
        <v>0.11162</v>
      </c>
      <c r="K66" s="58">
        <v>0.5125351</v>
      </c>
      <c r="L66" s="58">
        <f>K66-J66*(EXP(0.00000000000654*637000000)-1)</f>
        <v>0.5120691233616558</v>
      </c>
      <c r="M66" s="61">
        <f>(L66/(0.512638-(0.1967*(EXP(0.00000000000654*637000000)-1)))-1)*10000</f>
        <v>4.92912467994211</v>
      </c>
      <c r="N66" s="60">
        <v>921</v>
      </c>
      <c r="O66" s="60">
        <v>768</v>
      </c>
      <c r="P66" s="55" t="s">
        <v>111</v>
      </c>
      <c r="Q66" s="14"/>
      <c r="R66" s="15"/>
      <c r="S66" s="16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s="45" customFormat="1" ht="24.75" customHeight="1">
      <c r="A67" s="55">
        <v>155548</v>
      </c>
      <c r="B67" s="56">
        <v>44</v>
      </c>
      <c r="C67" s="56">
        <v>18.063</v>
      </c>
      <c r="D67" s="55" t="s">
        <v>122</v>
      </c>
      <c r="E67" s="55" t="s">
        <v>258</v>
      </c>
      <c r="F67" s="55" t="s">
        <v>118</v>
      </c>
      <c r="G67" s="66" t="s">
        <v>80</v>
      </c>
      <c r="H67" s="59">
        <v>7.60808</v>
      </c>
      <c r="I67" s="59">
        <v>17.11461</v>
      </c>
      <c r="J67" s="56">
        <v>0.26886</v>
      </c>
      <c r="K67" s="58">
        <v>0.5131692</v>
      </c>
      <c r="L67" s="58">
        <f>K67-J67*(EXP(0.00000000000654*575000000)-1)</f>
        <v>0.5121562485617672</v>
      </c>
      <c r="M67" s="61">
        <f>(L67/(0.512638-(0.1967*(EXP(0.00000000000654*575000000)-1)))-1)*10000</f>
        <v>5.0660875440966535</v>
      </c>
      <c r="N67" s="61"/>
      <c r="O67" s="61"/>
      <c r="P67" s="55" t="s">
        <v>111</v>
      </c>
      <c r="Q67" s="14"/>
      <c r="R67" s="15"/>
      <c r="S67" s="16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s="45" customFormat="1" ht="24.75" customHeight="1">
      <c r="A68" s="55">
        <v>155591</v>
      </c>
      <c r="B68" s="56">
        <v>41.97</v>
      </c>
      <c r="C68" s="56">
        <v>19.17</v>
      </c>
      <c r="D68" s="55" t="s">
        <v>123</v>
      </c>
      <c r="E68" s="55" t="s">
        <v>121</v>
      </c>
      <c r="F68" s="55" t="s">
        <v>118</v>
      </c>
      <c r="G68" s="66" t="s">
        <v>80</v>
      </c>
      <c r="H68" s="59">
        <v>4.21354</v>
      </c>
      <c r="I68" s="59">
        <v>26.03499</v>
      </c>
      <c r="J68" s="56">
        <v>0.097866964</v>
      </c>
      <c r="K68" s="58">
        <v>0.5124664</v>
      </c>
      <c r="L68" s="58">
        <f>K68-J68*(EXP(0.00000000000654*620000000)-1)</f>
        <v>0.5120687634107602</v>
      </c>
      <c r="M68" s="61">
        <f>(L68/(0.512638-(0.1967*(EXP(0.00000000000654*620000000)-1)))-1)*10000</f>
        <v>4.492855363502635</v>
      </c>
      <c r="N68" s="60">
        <v>902</v>
      </c>
      <c r="O68" s="60">
        <v>768</v>
      </c>
      <c r="P68" s="55" t="s">
        <v>111</v>
      </c>
      <c r="Q68" s="14"/>
      <c r="R68" s="15"/>
      <c r="S68" s="16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s="45" customFormat="1" ht="24.75" customHeight="1">
      <c r="A69" s="55">
        <v>155671</v>
      </c>
      <c r="B69" s="56">
        <v>40.22</v>
      </c>
      <c r="C69" s="56">
        <v>20.8</v>
      </c>
      <c r="D69" s="55" t="s">
        <v>123</v>
      </c>
      <c r="E69" s="55" t="s">
        <v>121</v>
      </c>
      <c r="F69" s="55" t="s">
        <v>118</v>
      </c>
      <c r="G69" s="66" t="s">
        <v>80</v>
      </c>
      <c r="H69" s="59">
        <v>0.92866</v>
      </c>
      <c r="I69" s="59">
        <v>4.54815</v>
      </c>
      <c r="J69" s="56">
        <v>0.1234756</v>
      </c>
      <c r="K69" s="58">
        <v>0.5125794</v>
      </c>
      <c r="L69" s="58">
        <f>K69-J69*(EXP(0.00000000000654*620000000)-1)</f>
        <v>0.5120777147077258</v>
      </c>
      <c r="M69" s="61">
        <f>(L69/(0.512638-(0.1967*(EXP(0.00000000000654*620000000)-1)))-1)*10000</f>
        <v>4.667740443276003</v>
      </c>
      <c r="N69" s="60">
        <v>967</v>
      </c>
      <c r="O69" s="60">
        <v>793</v>
      </c>
      <c r="P69" s="55" t="s">
        <v>111</v>
      </c>
      <c r="Q69" s="14"/>
      <c r="R69" s="15"/>
      <c r="S69" s="16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s="45" customFormat="1" ht="24.75" customHeight="1">
      <c r="A70" s="55">
        <v>155701</v>
      </c>
      <c r="B70" s="56">
        <v>42.91</v>
      </c>
      <c r="C70" s="56">
        <v>19.05</v>
      </c>
      <c r="D70" s="55" t="s">
        <v>124</v>
      </c>
      <c r="E70" s="55" t="s">
        <v>121</v>
      </c>
      <c r="F70" s="55" t="s">
        <v>118</v>
      </c>
      <c r="G70" s="66" t="s">
        <v>80</v>
      </c>
      <c r="H70" s="59">
        <v>5.60491</v>
      </c>
      <c r="I70" s="59">
        <v>27.77409</v>
      </c>
      <c r="J70" s="56">
        <v>0.1220354</v>
      </c>
      <c r="K70" s="58">
        <v>0.5125746</v>
      </c>
      <c r="L70" s="58">
        <f>K70-J70*(EXP(0.00000000000654*620000000)-1)</f>
        <v>0.5120787662861586</v>
      </c>
      <c r="M70" s="61">
        <f>(L70/(0.512638-(0.1967*(EXP(0.00000000000654*620000000)-1)))-1)*10000</f>
        <v>4.688285552973959</v>
      </c>
      <c r="N70" s="60">
        <v>959</v>
      </c>
      <c r="O70" s="60">
        <v>789</v>
      </c>
      <c r="P70" s="55" t="s">
        <v>111</v>
      </c>
      <c r="Q70" s="14"/>
      <c r="R70" s="20"/>
      <c r="S70" s="2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s="45" customFormat="1" ht="24.75" customHeight="1">
      <c r="A71" s="55" t="s">
        <v>125</v>
      </c>
      <c r="B71" s="56">
        <v>39.68</v>
      </c>
      <c r="C71" s="56">
        <v>21.56</v>
      </c>
      <c r="D71" s="66" t="s">
        <v>126</v>
      </c>
      <c r="E71" s="67">
        <v>773</v>
      </c>
      <c r="F71" s="55" t="s">
        <v>127</v>
      </c>
      <c r="G71" s="66" t="s">
        <v>80</v>
      </c>
      <c r="H71" s="59">
        <v>4.72</v>
      </c>
      <c r="I71" s="59">
        <v>18.6</v>
      </c>
      <c r="J71" s="56">
        <v>0.1535</v>
      </c>
      <c r="K71" s="58">
        <v>0.51272</v>
      </c>
      <c r="L71" s="58">
        <v>0.5119420281998032</v>
      </c>
      <c r="M71" s="61">
        <v>5.881996650045629</v>
      </c>
      <c r="N71" s="60">
        <v>1092</v>
      </c>
      <c r="O71" s="60">
        <v>830</v>
      </c>
      <c r="P71" s="55" t="s">
        <v>128</v>
      </c>
      <c r="Q71" s="14"/>
      <c r="R71" s="20"/>
      <c r="S71" s="2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s="45" customFormat="1" ht="24.75" customHeight="1">
      <c r="A72" s="55" t="s">
        <v>129</v>
      </c>
      <c r="B72" s="56">
        <v>41.25</v>
      </c>
      <c r="C72" s="56">
        <v>25.583</v>
      </c>
      <c r="D72" s="66" t="s">
        <v>130</v>
      </c>
      <c r="E72" s="67">
        <v>635</v>
      </c>
      <c r="F72" s="55" t="s">
        <v>131</v>
      </c>
      <c r="G72" s="66" t="s">
        <v>80</v>
      </c>
      <c r="H72" s="59">
        <v>5.9</v>
      </c>
      <c r="I72" s="59">
        <v>29.2</v>
      </c>
      <c r="J72" s="56">
        <v>0.1222</v>
      </c>
      <c r="K72" s="58">
        <v>0.51263</v>
      </c>
      <c r="L72" s="58">
        <v>0.5121214603938152</v>
      </c>
      <c r="M72" s="61">
        <v>5.901190145167767</v>
      </c>
      <c r="N72" s="60">
        <v>869</v>
      </c>
      <c r="O72" s="60">
        <v>701</v>
      </c>
      <c r="P72" s="55" t="s">
        <v>128</v>
      </c>
      <c r="Q72" s="14"/>
      <c r="R72" s="20"/>
      <c r="S72" s="2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s="45" customFormat="1" ht="24.75" customHeight="1">
      <c r="A73" s="55" t="s">
        <v>132</v>
      </c>
      <c r="B73" s="56">
        <v>35.63</v>
      </c>
      <c r="C73" s="56">
        <v>27.99</v>
      </c>
      <c r="D73" s="66" t="s">
        <v>133</v>
      </c>
      <c r="E73" s="67">
        <v>577</v>
      </c>
      <c r="F73" s="55" t="s">
        <v>105</v>
      </c>
      <c r="G73" s="66" t="s">
        <v>80</v>
      </c>
      <c r="H73" s="59">
        <v>11</v>
      </c>
      <c r="I73" s="59">
        <v>67</v>
      </c>
      <c r="J73" s="56">
        <v>0.0994</v>
      </c>
      <c r="K73" s="58">
        <v>0.5125</v>
      </c>
      <c r="L73" s="58">
        <v>0.5121633378884124</v>
      </c>
      <c r="M73" s="61">
        <v>5.25505586405739</v>
      </c>
      <c r="N73" s="60">
        <v>869</v>
      </c>
      <c r="O73" s="60">
        <v>734</v>
      </c>
      <c r="P73" s="55" t="s">
        <v>128</v>
      </c>
      <c r="Q73" s="14"/>
      <c r="R73" s="20"/>
      <c r="S73" s="2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s="45" customFormat="1" ht="24.75" customHeight="1">
      <c r="A74" s="55" t="s">
        <v>134</v>
      </c>
      <c r="B74" s="56">
        <v>35.63</v>
      </c>
      <c r="C74" s="56">
        <v>27.99</v>
      </c>
      <c r="D74" s="66" t="s">
        <v>133</v>
      </c>
      <c r="E74" s="67">
        <v>577</v>
      </c>
      <c r="F74" s="55" t="s">
        <v>105</v>
      </c>
      <c r="G74" s="66" t="s">
        <v>80</v>
      </c>
      <c r="H74" s="59">
        <v>6</v>
      </c>
      <c r="I74" s="59">
        <v>29</v>
      </c>
      <c r="J74" s="56">
        <v>0.1255</v>
      </c>
      <c r="K74" s="58">
        <v>0.51258</v>
      </c>
      <c r="L74" s="58">
        <v>0.5121055210308704</v>
      </c>
      <c r="M74" s="61">
        <v>4.125587267922448</v>
      </c>
      <c r="N74" s="60">
        <v>988</v>
      </c>
      <c r="O74" s="60">
        <v>810</v>
      </c>
      <c r="P74" s="55" t="s">
        <v>128</v>
      </c>
      <c r="Q74" s="14"/>
      <c r="R74" s="20"/>
      <c r="S74" s="2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s="45" customFormat="1" ht="24.75" customHeight="1">
      <c r="A75" s="55" t="s">
        <v>135</v>
      </c>
      <c r="B75" s="56">
        <v>41.5943</v>
      </c>
      <c r="C75" s="56">
        <v>25.4094</v>
      </c>
      <c r="D75" s="66" t="s">
        <v>136</v>
      </c>
      <c r="E75" s="67">
        <v>577</v>
      </c>
      <c r="F75" s="55" t="s">
        <v>137</v>
      </c>
      <c r="G75" s="66" t="s">
        <v>80</v>
      </c>
      <c r="H75" s="59">
        <v>9.49</v>
      </c>
      <c r="I75" s="59">
        <v>33.3</v>
      </c>
      <c r="J75" s="56">
        <v>0.1724</v>
      </c>
      <c r="K75" s="58">
        <v>0.51284</v>
      </c>
      <c r="L75" s="58">
        <v>0.5121882057826458</v>
      </c>
      <c r="M75" s="61">
        <v>5.740857181919523</v>
      </c>
      <c r="N75" s="60"/>
      <c r="O75" s="60"/>
      <c r="P75" s="55" t="s">
        <v>128</v>
      </c>
      <c r="Q75" s="14"/>
      <c r="R75" s="20"/>
      <c r="S75" s="2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s="45" customFormat="1" ht="24.75" customHeight="1">
      <c r="A76" s="55" t="s">
        <v>138</v>
      </c>
      <c r="B76" s="56">
        <v>41.5943</v>
      </c>
      <c r="C76" s="56">
        <v>25.4094</v>
      </c>
      <c r="D76" s="66" t="s">
        <v>136</v>
      </c>
      <c r="E76" s="67">
        <v>577</v>
      </c>
      <c r="F76" s="55" t="s">
        <v>137</v>
      </c>
      <c r="G76" s="66" t="s">
        <v>80</v>
      </c>
      <c r="H76" s="59">
        <v>13.3</v>
      </c>
      <c r="I76" s="61">
        <v>112</v>
      </c>
      <c r="J76" s="56">
        <v>0.0718</v>
      </c>
      <c r="K76" s="58">
        <v>0.51243</v>
      </c>
      <c r="L76" s="58">
        <v>0.512158545099733</v>
      </c>
      <c r="M76" s="61">
        <v>5.161427387323503</v>
      </c>
      <c r="N76" s="60">
        <v>775</v>
      </c>
      <c r="O76" s="60">
        <v>668</v>
      </c>
      <c r="P76" s="55" t="s">
        <v>128</v>
      </c>
      <c r="Q76" s="14"/>
      <c r="R76" s="15"/>
      <c r="S76" s="16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s="45" customFormat="1" ht="24.75" customHeight="1">
      <c r="A77" s="55" t="s">
        <v>139</v>
      </c>
      <c r="B77" s="56">
        <v>43.87</v>
      </c>
      <c r="C77" s="56">
        <v>23.14</v>
      </c>
      <c r="D77" s="66" t="s">
        <v>140</v>
      </c>
      <c r="E77" s="67">
        <v>567</v>
      </c>
      <c r="F77" s="55" t="s">
        <v>141</v>
      </c>
      <c r="G77" s="66" t="s">
        <v>80</v>
      </c>
      <c r="H77" s="59">
        <v>9.18</v>
      </c>
      <c r="I77" s="59">
        <v>21.5</v>
      </c>
      <c r="J77" s="56">
        <v>0.2583</v>
      </c>
      <c r="K77" s="58">
        <v>0.51299</v>
      </c>
      <c r="L77" s="58">
        <v>0.5120303990190076</v>
      </c>
      <c r="M77" s="61">
        <v>2.4057496803853162</v>
      </c>
      <c r="N77" s="60"/>
      <c r="O77" s="60"/>
      <c r="P77" s="55" t="s">
        <v>128</v>
      </c>
      <c r="Q77" s="14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s="45" customFormat="1" ht="24.75" customHeight="1">
      <c r="A78" s="55" t="s">
        <v>142</v>
      </c>
      <c r="B78" s="56">
        <v>43.87</v>
      </c>
      <c r="C78" s="56">
        <v>23.14</v>
      </c>
      <c r="D78" s="66" t="s">
        <v>140</v>
      </c>
      <c r="E78" s="67">
        <v>567</v>
      </c>
      <c r="F78" s="55" t="s">
        <v>141</v>
      </c>
      <c r="G78" s="66" t="s">
        <v>80</v>
      </c>
      <c r="H78" s="59">
        <v>3.36</v>
      </c>
      <c r="I78" s="59">
        <v>13.4</v>
      </c>
      <c r="J78" s="56">
        <v>0.1517</v>
      </c>
      <c r="K78" s="58">
        <v>0.51253</v>
      </c>
      <c r="L78" s="58">
        <v>0.511966424820687</v>
      </c>
      <c r="M78" s="61">
        <v>1.1560272218380518</v>
      </c>
      <c r="N78" s="60">
        <v>1526</v>
      </c>
      <c r="O78" s="60">
        <v>1257</v>
      </c>
      <c r="P78" s="55" t="s">
        <v>128</v>
      </c>
      <c r="Q78" s="14"/>
      <c r="R78" s="15"/>
      <c r="S78" s="16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s="45" customFormat="1" ht="24.75" customHeight="1">
      <c r="A79" s="55" t="s">
        <v>143</v>
      </c>
      <c r="B79" s="56">
        <v>24.2</v>
      </c>
      <c r="C79" s="56">
        <v>44.38</v>
      </c>
      <c r="D79" s="66" t="s">
        <v>144</v>
      </c>
      <c r="E79" s="67">
        <v>668</v>
      </c>
      <c r="F79" s="55" t="s">
        <v>145</v>
      </c>
      <c r="G79" s="66" t="s">
        <v>80</v>
      </c>
      <c r="H79" s="59">
        <v>0.68</v>
      </c>
      <c r="I79" s="59">
        <v>4.13</v>
      </c>
      <c r="J79" s="56">
        <v>0.099</v>
      </c>
      <c r="K79" s="58">
        <v>0.5124</v>
      </c>
      <c r="L79" s="58">
        <v>0.511966550599859</v>
      </c>
      <c r="M79" s="61">
        <v>3.7078203418272615</v>
      </c>
      <c r="N79" s="60">
        <v>999</v>
      </c>
      <c r="O79" s="60">
        <v>861</v>
      </c>
      <c r="P79" s="55" t="s">
        <v>128</v>
      </c>
      <c r="Q79" s="14"/>
      <c r="R79" s="15"/>
      <c r="S79" s="16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s="45" customFormat="1" ht="24.75" customHeight="1">
      <c r="A80" s="55" t="s">
        <v>146</v>
      </c>
      <c r="B80" s="56">
        <v>24.2</v>
      </c>
      <c r="C80" s="56">
        <v>44.38</v>
      </c>
      <c r="D80" s="66" t="s">
        <v>144</v>
      </c>
      <c r="E80" s="67">
        <v>668</v>
      </c>
      <c r="F80" s="55" t="s">
        <v>145</v>
      </c>
      <c r="G80" s="66" t="s">
        <v>80</v>
      </c>
      <c r="H80" s="59">
        <v>4.65</v>
      </c>
      <c r="I80" s="59">
        <v>36.2</v>
      </c>
      <c r="J80" s="56">
        <v>0.0777</v>
      </c>
      <c r="K80" s="58">
        <v>0.51245</v>
      </c>
      <c r="L80" s="58">
        <v>0.5121098078950409</v>
      </c>
      <c r="M80" s="61">
        <v>6.50703470935321</v>
      </c>
      <c r="N80" s="60">
        <v>787</v>
      </c>
      <c r="O80" s="60">
        <v>675</v>
      </c>
      <c r="P80" s="55" t="s">
        <v>128</v>
      </c>
      <c r="Q80" s="14"/>
      <c r="R80" s="15"/>
      <c r="S80" s="16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s="45" customFormat="1" ht="24.75" customHeight="1">
      <c r="A81" s="55" t="s">
        <v>147</v>
      </c>
      <c r="B81" s="56">
        <v>45.2</v>
      </c>
      <c r="C81" s="56">
        <v>24</v>
      </c>
      <c r="D81" s="66" t="s">
        <v>148</v>
      </c>
      <c r="E81" s="67">
        <v>750</v>
      </c>
      <c r="F81" s="55" t="s">
        <v>149</v>
      </c>
      <c r="G81" s="66" t="s">
        <v>80</v>
      </c>
      <c r="H81" s="59">
        <v>1.25</v>
      </c>
      <c r="I81" s="59">
        <v>6.3</v>
      </c>
      <c r="J81" s="56">
        <v>0.12</v>
      </c>
      <c r="K81" s="58">
        <v>0.51258</v>
      </c>
      <c r="L81" s="58">
        <v>0.5119899540954127</v>
      </c>
      <c r="M81" s="61">
        <v>6.2371677995543</v>
      </c>
      <c r="N81" s="60">
        <v>930</v>
      </c>
      <c r="O81" s="60">
        <v>764</v>
      </c>
      <c r="P81" s="55" t="s">
        <v>128</v>
      </c>
      <c r="Q81" s="14"/>
      <c r="R81" s="15"/>
      <c r="S81" s="16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s="45" customFormat="1" ht="24.75" customHeight="1">
      <c r="A82" s="55" t="s">
        <v>150</v>
      </c>
      <c r="B82" s="56">
        <v>45.33</v>
      </c>
      <c r="C82" s="56">
        <v>23.03</v>
      </c>
      <c r="D82" s="66" t="s">
        <v>151</v>
      </c>
      <c r="E82" s="67">
        <v>743</v>
      </c>
      <c r="F82" s="55" t="s">
        <v>149</v>
      </c>
      <c r="G82" s="66" t="s">
        <v>80</v>
      </c>
      <c r="H82" s="59">
        <v>4.4</v>
      </c>
      <c r="I82" s="59">
        <v>18.7</v>
      </c>
      <c r="J82" s="56">
        <v>0.1424</v>
      </c>
      <c r="K82" s="58">
        <v>0.51265</v>
      </c>
      <c r="L82" s="58">
        <v>0.5119563631698678</v>
      </c>
      <c r="M82" s="61">
        <v>5.403725466384124</v>
      </c>
      <c r="N82" s="60">
        <v>1072</v>
      </c>
      <c r="O82" s="60">
        <v>850</v>
      </c>
      <c r="P82" s="55" t="s">
        <v>128</v>
      </c>
      <c r="Q82" s="14"/>
      <c r="R82" s="15"/>
      <c r="S82" s="16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s="45" customFormat="1" ht="24.75" customHeight="1">
      <c r="A83" s="55" t="s">
        <v>152</v>
      </c>
      <c r="B83" s="56">
        <v>45.33</v>
      </c>
      <c r="C83" s="56">
        <v>23.083</v>
      </c>
      <c r="D83" s="66" t="s">
        <v>153</v>
      </c>
      <c r="E83" s="67">
        <v>743</v>
      </c>
      <c r="F83" s="55" t="s">
        <v>149</v>
      </c>
      <c r="G83" s="66" t="s">
        <v>80</v>
      </c>
      <c r="H83" s="59">
        <v>7.84</v>
      </c>
      <c r="I83" s="59">
        <v>25.8</v>
      </c>
      <c r="J83" s="56">
        <v>0.1135</v>
      </c>
      <c r="K83" s="58">
        <v>0.51237</v>
      </c>
      <c r="L83" s="58">
        <v>0.5118171363748595</v>
      </c>
      <c r="M83" s="61">
        <v>2.682750801989986</v>
      </c>
      <c r="N83" s="60">
        <v>1188</v>
      </c>
      <c r="O83" s="60">
        <v>1027</v>
      </c>
      <c r="P83" s="55" t="s">
        <v>128</v>
      </c>
      <c r="Q83" s="14"/>
      <c r="R83" s="15"/>
      <c r="S83" s="16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s="45" customFormat="1" ht="24.75" customHeight="1">
      <c r="A84" s="55">
        <v>188</v>
      </c>
      <c r="B84" s="56">
        <v>42</v>
      </c>
      <c r="C84" s="56">
        <v>20</v>
      </c>
      <c r="D84" s="55" t="s">
        <v>154</v>
      </c>
      <c r="E84" s="67">
        <v>720</v>
      </c>
      <c r="F84" s="55" t="s">
        <v>155</v>
      </c>
      <c r="G84" s="66" t="s">
        <v>80</v>
      </c>
      <c r="H84" s="55" t="s">
        <v>162</v>
      </c>
      <c r="I84" s="55" t="s">
        <v>162</v>
      </c>
      <c r="J84" s="56">
        <v>0.217</v>
      </c>
      <c r="K84" s="58">
        <v>0.51315</v>
      </c>
      <c r="L84" s="58">
        <f aca="true" t="shared" si="0" ref="L84:L89">K84-J84*(EXP(0.00000000000654*720000000)-1)</f>
        <v>0.5121257808709655</v>
      </c>
      <c r="M84" s="59">
        <f aca="true" t="shared" si="1" ref="M84:M89">(L84/(0.512638-(0.1967*(EXP(0.00000000000654*720000000)-1)))-1)*10000</f>
        <v>8.133245039334547</v>
      </c>
      <c r="N84" s="55"/>
      <c r="O84" s="55"/>
      <c r="P84" s="55" t="s">
        <v>156</v>
      </c>
      <c r="Q84" s="14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s="45" customFormat="1" ht="24.75" customHeight="1">
      <c r="A85" s="55">
        <v>264</v>
      </c>
      <c r="B85" s="56">
        <v>42</v>
      </c>
      <c r="C85" s="56">
        <v>20</v>
      </c>
      <c r="D85" s="55" t="s">
        <v>154</v>
      </c>
      <c r="E85" s="67">
        <v>720</v>
      </c>
      <c r="F85" s="55" t="s">
        <v>155</v>
      </c>
      <c r="G85" s="66" t="s">
        <v>80</v>
      </c>
      <c r="H85" s="55" t="s">
        <v>162</v>
      </c>
      <c r="I85" s="55" t="s">
        <v>162</v>
      </c>
      <c r="J85" s="56">
        <v>0.22</v>
      </c>
      <c r="K85" s="58">
        <v>0.51314</v>
      </c>
      <c r="L85" s="58">
        <f t="shared" si="0"/>
        <v>0.5121016211595042</v>
      </c>
      <c r="M85" s="59">
        <f t="shared" si="1"/>
        <v>7.661107879874951</v>
      </c>
      <c r="N85" s="55"/>
      <c r="O85" s="55"/>
      <c r="P85" s="55" t="s">
        <v>156</v>
      </c>
      <c r="Q85" s="14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s="45" customFormat="1" ht="24.75" customHeight="1">
      <c r="A86" s="55">
        <v>75</v>
      </c>
      <c r="B86" s="56">
        <v>42</v>
      </c>
      <c r="C86" s="56">
        <v>20</v>
      </c>
      <c r="D86" s="55" t="s">
        <v>157</v>
      </c>
      <c r="E86" s="67">
        <v>720</v>
      </c>
      <c r="F86" s="55" t="s">
        <v>155</v>
      </c>
      <c r="G86" s="66" t="s">
        <v>80</v>
      </c>
      <c r="H86" s="55" t="s">
        <v>162</v>
      </c>
      <c r="I86" s="55" t="s">
        <v>162</v>
      </c>
      <c r="J86" s="56">
        <v>0.235</v>
      </c>
      <c r="K86" s="58">
        <v>0.51323</v>
      </c>
      <c r="L86" s="58">
        <f t="shared" si="0"/>
        <v>0.5121208226021976</v>
      </c>
      <c r="M86" s="59">
        <f t="shared" si="1"/>
        <v>8.036348893216694</v>
      </c>
      <c r="N86" s="55"/>
      <c r="O86" s="55"/>
      <c r="P86" s="55" t="s">
        <v>156</v>
      </c>
      <c r="Q86" s="14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s="45" customFormat="1" ht="24.75" customHeight="1">
      <c r="A87" s="55">
        <v>68</v>
      </c>
      <c r="B87" s="56">
        <v>42</v>
      </c>
      <c r="C87" s="56">
        <v>20</v>
      </c>
      <c r="D87" s="55" t="s">
        <v>158</v>
      </c>
      <c r="E87" s="67">
        <v>720</v>
      </c>
      <c r="F87" s="55" t="s">
        <v>155</v>
      </c>
      <c r="G87" s="66" t="s">
        <v>80</v>
      </c>
      <c r="H87" s="55" t="s">
        <v>162</v>
      </c>
      <c r="I87" s="55" t="s">
        <v>162</v>
      </c>
      <c r="J87" s="56">
        <v>0.187</v>
      </c>
      <c r="K87" s="58">
        <v>0.51299</v>
      </c>
      <c r="L87" s="58">
        <f t="shared" si="0"/>
        <v>0.5121073779855785</v>
      </c>
      <c r="M87" s="59">
        <f t="shared" si="1"/>
        <v>7.773609699881501</v>
      </c>
      <c r="N87" s="55"/>
      <c r="O87" s="55"/>
      <c r="P87" s="55" t="s">
        <v>156</v>
      </c>
      <c r="Q87" s="14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s="45" customFormat="1" ht="24.75" customHeight="1">
      <c r="A88" s="55">
        <v>268</v>
      </c>
      <c r="B88" s="56">
        <v>42</v>
      </c>
      <c r="C88" s="56">
        <v>20</v>
      </c>
      <c r="D88" s="55" t="s">
        <v>159</v>
      </c>
      <c r="E88" s="67">
        <v>720</v>
      </c>
      <c r="F88" s="55" t="s">
        <v>155</v>
      </c>
      <c r="G88" s="66" t="s">
        <v>80</v>
      </c>
      <c r="H88" s="55" t="s">
        <v>162</v>
      </c>
      <c r="I88" s="55" t="s">
        <v>162</v>
      </c>
      <c r="J88" s="56">
        <v>0.175</v>
      </c>
      <c r="K88" s="58">
        <v>0.51299</v>
      </c>
      <c r="L88" s="58">
        <f t="shared" si="0"/>
        <v>0.5121640168314238</v>
      </c>
      <c r="M88" s="59">
        <f t="shared" si="1"/>
        <v>8.880464963252344</v>
      </c>
      <c r="N88" s="55"/>
      <c r="O88" s="55"/>
      <c r="P88" s="55" t="s">
        <v>156</v>
      </c>
      <c r="Q88" s="14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s="45" customFormat="1" ht="24.75" customHeight="1">
      <c r="A89" s="55" t="s">
        <v>160</v>
      </c>
      <c r="B89" s="56">
        <v>42</v>
      </c>
      <c r="C89" s="56">
        <v>20</v>
      </c>
      <c r="D89" s="55" t="s">
        <v>161</v>
      </c>
      <c r="E89" s="67">
        <v>720</v>
      </c>
      <c r="F89" s="55" t="s">
        <v>155</v>
      </c>
      <c r="G89" s="66" t="s">
        <v>80</v>
      </c>
      <c r="H89" s="55" t="s">
        <v>162</v>
      </c>
      <c r="I89" s="55" t="s">
        <v>162</v>
      </c>
      <c r="J89" s="56">
        <v>0.188</v>
      </c>
      <c r="K89" s="58">
        <v>0.51306</v>
      </c>
      <c r="L89" s="58">
        <f t="shared" si="0"/>
        <v>0.512172658081758</v>
      </c>
      <c r="M89" s="59">
        <f t="shared" si="1"/>
        <v>9.04933516658657</v>
      </c>
      <c r="N89" s="55"/>
      <c r="O89" s="55"/>
      <c r="P89" s="55" t="s">
        <v>156</v>
      </c>
      <c r="Q89" s="14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s="45" customFormat="1" ht="24.75" customHeight="1">
      <c r="A90" s="55" t="s">
        <v>167</v>
      </c>
      <c r="B90" s="56">
        <v>45.0283</v>
      </c>
      <c r="C90" s="56">
        <v>14.35</v>
      </c>
      <c r="D90" s="55" t="s">
        <v>173</v>
      </c>
      <c r="E90" s="67"/>
      <c r="F90" s="55" t="s">
        <v>177</v>
      </c>
      <c r="G90" s="66" t="s">
        <v>176</v>
      </c>
      <c r="H90" s="55">
        <v>2.989</v>
      </c>
      <c r="I90" s="55">
        <v>13.73</v>
      </c>
      <c r="J90" s="56">
        <v>0.1316</v>
      </c>
      <c r="K90" s="58">
        <v>0.511852</v>
      </c>
      <c r="L90" s="58"/>
      <c r="M90" s="59">
        <v>-9.5</v>
      </c>
      <c r="N90" s="55"/>
      <c r="O90" s="55">
        <v>2330</v>
      </c>
      <c r="P90" s="55" t="s">
        <v>178</v>
      </c>
      <c r="Q90" s="14"/>
      <c r="R90" s="15"/>
      <c r="S90" s="16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s="45" customFormat="1" ht="24.75" customHeight="1">
      <c r="A91" s="55" t="s">
        <v>168</v>
      </c>
      <c r="B91" s="56">
        <v>45.0283</v>
      </c>
      <c r="C91" s="56">
        <v>14.35</v>
      </c>
      <c r="D91" s="55" t="s">
        <v>173</v>
      </c>
      <c r="E91" s="67"/>
      <c r="F91" s="55" t="s">
        <v>177</v>
      </c>
      <c r="G91" s="66" t="s">
        <v>176</v>
      </c>
      <c r="H91" s="55">
        <v>2.74</v>
      </c>
      <c r="I91" s="55">
        <v>13.93</v>
      </c>
      <c r="J91" s="56">
        <v>0.1189</v>
      </c>
      <c r="K91" s="58">
        <v>0.511819</v>
      </c>
      <c r="L91" s="58"/>
      <c r="M91" s="59">
        <v>-9</v>
      </c>
      <c r="N91" s="55"/>
      <c r="O91" s="55">
        <v>2060</v>
      </c>
      <c r="P91" s="55" t="s">
        <v>178</v>
      </c>
      <c r="Q91" s="14"/>
      <c r="R91" s="15"/>
      <c r="S91" s="16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s="45" customFormat="1" ht="24.75" customHeight="1">
      <c r="A92" s="55" t="s">
        <v>169</v>
      </c>
      <c r="B92" s="56">
        <v>45.0283</v>
      </c>
      <c r="C92" s="56">
        <v>14.333</v>
      </c>
      <c r="D92" s="55" t="s">
        <v>174</v>
      </c>
      <c r="E92" s="67"/>
      <c r="F92" s="55" t="s">
        <v>177</v>
      </c>
      <c r="G92" s="66" t="s">
        <v>176</v>
      </c>
      <c r="H92" s="55">
        <v>5.75</v>
      </c>
      <c r="I92" s="55">
        <v>34.91</v>
      </c>
      <c r="J92" s="56">
        <v>0.0996</v>
      </c>
      <c r="K92" s="58">
        <v>0.511703</v>
      </c>
      <c r="L92" s="58"/>
      <c r="M92" s="59">
        <v>-9.4</v>
      </c>
      <c r="N92" s="55"/>
      <c r="O92" s="55">
        <v>1870</v>
      </c>
      <c r="P92" s="55" t="s">
        <v>178</v>
      </c>
      <c r="Q92" s="14"/>
      <c r="R92" s="15"/>
      <c r="S92" s="16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s="45" customFormat="1" ht="24.75" customHeight="1">
      <c r="A93" s="55" t="s">
        <v>170</v>
      </c>
      <c r="B93" s="56">
        <v>45.0283</v>
      </c>
      <c r="C93" s="56">
        <v>14.2667</v>
      </c>
      <c r="D93" s="55" t="s">
        <v>174</v>
      </c>
      <c r="E93" s="67"/>
      <c r="F93" s="55" t="s">
        <v>177</v>
      </c>
      <c r="G93" s="66" t="s">
        <v>176</v>
      </c>
      <c r="H93" s="55">
        <v>5.198</v>
      </c>
      <c r="I93" s="55">
        <v>27.03</v>
      </c>
      <c r="J93" s="56">
        <v>0.1162</v>
      </c>
      <c r="K93" s="58">
        <v>0.511909</v>
      </c>
      <c r="L93" s="58"/>
      <c r="M93" s="59">
        <v>-7</v>
      </c>
      <c r="N93" s="55"/>
      <c r="O93" s="55">
        <v>1870</v>
      </c>
      <c r="P93" s="55" t="s">
        <v>178</v>
      </c>
      <c r="Q93" s="14"/>
      <c r="R93" s="15"/>
      <c r="S93" s="16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s="45" customFormat="1" ht="24.75" customHeight="1">
      <c r="A94" s="55" t="s">
        <v>171</v>
      </c>
      <c r="B94" s="56">
        <v>45.345</v>
      </c>
      <c r="C94" s="56">
        <v>14.295</v>
      </c>
      <c r="D94" s="55" t="s">
        <v>174</v>
      </c>
      <c r="E94" s="67"/>
      <c r="F94" s="55" t="s">
        <v>177</v>
      </c>
      <c r="G94" s="66" t="s">
        <v>176</v>
      </c>
      <c r="H94" s="55">
        <v>10.53</v>
      </c>
      <c r="I94" s="55">
        <v>52.19</v>
      </c>
      <c r="J94" s="56">
        <v>0.122</v>
      </c>
      <c r="K94" s="58">
        <v>0.512086</v>
      </c>
      <c r="L94" s="58"/>
      <c r="M94" s="59">
        <v>-4.1</v>
      </c>
      <c r="N94" s="55"/>
      <c r="O94" s="55">
        <v>1680</v>
      </c>
      <c r="P94" s="55" t="s">
        <v>178</v>
      </c>
      <c r="Q94" s="14"/>
      <c r="R94" s="15"/>
      <c r="S94" s="16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s="45" customFormat="1" ht="24.75" customHeight="1">
      <c r="A95" s="55" t="s">
        <v>172</v>
      </c>
      <c r="B95" s="56">
        <v>45.345</v>
      </c>
      <c r="C95" s="56">
        <v>14.295</v>
      </c>
      <c r="D95" s="55" t="s">
        <v>175</v>
      </c>
      <c r="E95" s="67"/>
      <c r="F95" s="55" t="s">
        <v>177</v>
      </c>
      <c r="G95" s="66" t="s">
        <v>176</v>
      </c>
      <c r="H95" s="55">
        <v>8.926</v>
      </c>
      <c r="I95" s="55">
        <v>43.48</v>
      </c>
      <c r="J95" s="56">
        <v>0.1241</v>
      </c>
      <c r="K95" s="58">
        <v>0.512092</v>
      </c>
      <c r="L95" s="58"/>
      <c r="M95" s="59">
        <v>-4.2</v>
      </c>
      <c r="N95" s="55"/>
      <c r="O95" s="55">
        <v>1720</v>
      </c>
      <c r="P95" s="55" t="s">
        <v>178</v>
      </c>
      <c r="Q95" s="14"/>
      <c r="R95" s="15"/>
      <c r="S95" s="16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s="45" customFormat="1" ht="24.75" customHeight="1">
      <c r="A96" s="55" t="s">
        <v>179</v>
      </c>
      <c r="B96" s="56">
        <v>46.9183</v>
      </c>
      <c r="C96" s="56">
        <v>14.05</v>
      </c>
      <c r="D96" s="55" t="s">
        <v>174</v>
      </c>
      <c r="E96" s="67"/>
      <c r="F96" s="55" t="s">
        <v>187</v>
      </c>
      <c r="G96" s="66" t="s">
        <v>176</v>
      </c>
      <c r="H96" s="55">
        <v>12.95</v>
      </c>
      <c r="I96" s="55">
        <v>60.92</v>
      </c>
      <c r="J96" s="56">
        <v>0.1285</v>
      </c>
      <c r="K96" s="58">
        <v>0.512102</v>
      </c>
      <c r="L96" s="58"/>
      <c r="M96" s="59">
        <v>-4.4</v>
      </c>
      <c r="N96" s="55"/>
      <c r="O96" s="55">
        <v>1790</v>
      </c>
      <c r="P96" s="55" t="s">
        <v>178</v>
      </c>
      <c r="Q96" s="14"/>
      <c r="R96" s="15"/>
      <c r="S96" s="16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s="45" customFormat="1" ht="24.75" customHeight="1">
      <c r="A97" s="55" t="s">
        <v>180</v>
      </c>
      <c r="B97" s="56">
        <v>46.9067</v>
      </c>
      <c r="C97" s="56">
        <v>14.045</v>
      </c>
      <c r="D97" s="55" t="s">
        <v>174</v>
      </c>
      <c r="E97" s="67"/>
      <c r="F97" s="55" t="s">
        <v>187</v>
      </c>
      <c r="G97" s="66" t="s">
        <v>176</v>
      </c>
      <c r="H97" s="55">
        <v>2.396</v>
      </c>
      <c r="I97" s="55">
        <v>16.81</v>
      </c>
      <c r="J97" s="56">
        <v>0.0862</v>
      </c>
      <c r="K97" s="58">
        <v>0.512035</v>
      </c>
      <c r="L97" s="58"/>
      <c r="M97" s="59">
        <v>-1.9</v>
      </c>
      <c r="N97" s="55"/>
      <c r="O97" s="55">
        <v>1270</v>
      </c>
      <c r="P97" s="55" t="s">
        <v>178</v>
      </c>
      <c r="Q97" s="14"/>
      <c r="R97" s="15"/>
      <c r="S97" s="16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s="45" customFormat="1" ht="24.75" customHeight="1">
      <c r="A98" s="55" t="s">
        <v>181</v>
      </c>
      <c r="B98" s="56">
        <v>46.9067</v>
      </c>
      <c r="C98" s="56">
        <v>14.045</v>
      </c>
      <c r="D98" s="55" t="s">
        <v>174</v>
      </c>
      <c r="E98" s="67"/>
      <c r="F98" s="55" t="s">
        <v>187</v>
      </c>
      <c r="G98" s="66" t="s">
        <v>176</v>
      </c>
      <c r="H98" s="55">
        <v>3.243</v>
      </c>
      <c r="I98" s="55">
        <v>16.42</v>
      </c>
      <c r="J98" s="56">
        <v>0.1194</v>
      </c>
      <c r="K98" s="58">
        <v>0.511789</v>
      </c>
      <c r="L98" s="58"/>
      <c r="M98" s="59">
        <v>-9.7</v>
      </c>
      <c r="N98" s="55"/>
      <c r="O98" s="55">
        <v>2130</v>
      </c>
      <c r="P98" s="55" t="s">
        <v>178</v>
      </c>
      <c r="Q98" s="14"/>
      <c r="R98" s="15"/>
      <c r="S98" s="16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s="45" customFormat="1" ht="24.75" customHeight="1">
      <c r="A99" s="55" t="s">
        <v>182</v>
      </c>
      <c r="B99" s="56">
        <v>46.7667</v>
      </c>
      <c r="C99" s="56">
        <v>14.0333</v>
      </c>
      <c r="D99" s="55" t="s">
        <v>174</v>
      </c>
      <c r="E99" s="67"/>
      <c r="F99" s="55" t="s">
        <v>187</v>
      </c>
      <c r="G99" s="66" t="s">
        <v>176</v>
      </c>
      <c r="H99" s="55">
        <v>4.816</v>
      </c>
      <c r="I99" s="55">
        <v>34.48</v>
      </c>
      <c r="J99" s="56">
        <v>0.1058</v>
      </c>
      <c r="K99" s="58">
        <v>0.511068</v>
      </c>
      <c r="L99" s="58"/>
      <c r="M99" s="59">
        <v>-22.5</v>
      </c>
      <c r="N99" s="55"/>
      <c r="O99" s="55">
        <v>2880</v>
      </c>
      <c r="P99" s="55" t="s">
        <v>178</v>
      </c>
      <c r="Q99" s="14"/>
      <c r="R99" s="15"/>
      <c r="S99" s="16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s="45" customFormat="1" ht="24.75" customHeight="1">
      <c r="A100" s="55" t="s">
        <v>183</v>
      </c>
      <c r="B100" s="56">
        <v>46.7667</v>
      </c>
      <c r="C100" s="56">
        <v>14.0333</v>
      </c>
      <c r="D100" s="55" t="s">
        <v>174</v>
      </c>
      <c r="E100" s="67"/>
      <c r="F100" s="55" t="s">
        <v>187</v>
      </c>
      <c r="G100" s="66" t="s">
        <v>176</v>
      </c>
      <c r="H100" s="55">
        <v>3.559</v>
      </c>
      <c r="I100" s="55">
        <v>16.53</v>
      </c>
      <c r="J100" s="56">
        <v>0.1088</v>
      </c>
      <c r="K100" s="58">
        <v>0.511019</v>
      </c>
      <c r="L100" s="58"/>
      <c r="M100" s="59">
        <v>-23.8</v>
      </c>
      <c r="N100" s="55"/>
      <c r="O100" s="55">
        <v>3040</v>
      </c>
      <c r="P100" s="55" t="s">
        <v>178</v>
      </c>
      <c r="Q100" s="14"/>
      <c r="R100" s="15"/>
      <c r="S100" s="16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s="45" customFormat="1" ht="24.75" customHeight="1">
      <c r="A101" s="55" t="s">
        <v>184</v>
      </c>
      <c r="B101" s="56">
        <v>46.86</v>
      </c>
      <c r="C101" s="56">
        <v>14.05</v>
      </c>
      <c r="D101" s="55" t="s">
        <v>174</v>
      </c>
      <c r="E101" s="67"/>
      <c r="F101" s="55" t="s">
        <v>187</v>
      </c>
      <c r="G101" s="66" t="s">
        <v>176</v>
      </c>
      <c r="H101" s="55">
        <v>3.221</v>
      </c>
      <c r="I101" s="55">
        <v>18.51</v>
      </c>
      <c r="J101" s="56">
        <v>0.1052</v>
      </c>
      <c r="K101" s="58">
        <v>0.511108</v>
      </c>
      <c r="L101" s="58"/>
      <c r="M101" s="59">
        <v>-21.7</v>
      </c>
      <c r="N101" s="55"/>
      <c r="O101" s="55">
        <v>2810</v>
      </c>
      <c r="P101" s="55" t="s">
        <v>178</v>
      </c>
      <c r="Q101" s="14"/>
      <c r="R101" s="15"/>
      <c r="S101" s="16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s="45" customFormat="1" ht="24.75" customHeight="1">
      <c r="A102" s="55" t="s">
        <v>185</v>
      </c>
      <c r="B102" s="56">
        <v>46.85</v>
      </c>
      <c r="C102" s="56">
        <v>14.05</v>
      </c>
      <c r="D102" s="55" t="s">
        <v>174</v>
      </c>
      <c r="E102" s="67"/>
      <c r="F102" s="55" t="s">
        <v>187</v>
      </c>
      <c r="G102" s="66" t="s">
        <v>176</v>
      </c>
      <c r="H102" s="55">
        <v>3.316</v>
      </c>
      <c r="I102" s="55">
        <v>16.73</v>
      </c>
      <c r="J102" s="56">
        <v>0.1198</v>
      </c>
      <c r="K102" s="58">
        <v>0.511322</v>
      </c>
      <c r="L102" s="58"/>
      <c r="M102" s="59">
        <v>-18.8</v>
      </c>
      <c r="N102" s="55"/>
      <c r="O102" s="55">
        <v>2900</v>
      </c>
      <c r="P102" s="55" t="s">
        <v>178</v>
      </c>
      <c r="Q102" s="14"/>
      <c r="R102" s="15"/>
      <c r="S102" s="16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s="45" customFormat="1" ht="24.75" customHeight="1">
      <c r="A103" s="55" t="s">
        <v>186</v>
      </c>
      <c r="B103" s="56">
        <v>46.75</v>
      </c>
      <c r="C103" s="56">
        <v>14.0333</v>
      </c>
      <c r="D103" s="55" t="s">
        <v>194</v>
      </c>
      <c r="E103" s="67"/>
      <c r="F103" s="55" t="s">
        <v>187</v>
      </c>
      <c r="G103" s="66" t="s">
        <v>176</v>
      </c>
      <c r="H103" s="55">
        <v>3.541</v>
      </c>
      <c r="I103" s="55">
        <v>19.67</v>
      </c>
      <c r="J103" s="56">
        <v>0.0844</v>
      </c>
      <c r="K103" s="58">
        <v>0.510675</v>
      </c>
      <c r="L103" s="58"/>
      <c r="M103" s="55">
        <v>-28.3</v>
      </c>
      <c r="N103" s="55"/>
      <c r="O103" s="55">
        <v>2870</v>
      </c>
      <c r="P103" s="55" t="s">
        <v>178</v>
      </c>
      <c r="Q103" s="14"/>
      <c r="R103" s="15"/>
      <c r="S103" s="16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s="45" customFormat="1" ht="24.75" customHeight="1">
      <c r="A104" s="55" t="s">
        <v>188</v>
      </c>
      <c r="B104" s="56">
        <v>46.01</v>
      </c>
      <c r="C104" s="56">
        <v>13.895</v>
      </c>
      <c r="D104" s="55" t="s">
        <v>174</v>
      </c>
      <c r="E104" s="67"/>
      <c r="F104" s="55" t="s">
        <v>187</v>
      </c>
      <c r="G104" s="66" t="s">
        <v>176</v>
      </c>
      <c r="H104" s="55">
        <v>9.002</v>
      </c>
      <c r="I104" s="55">
        <v>61.14</v>
      </c>
      <c r="J104" s="56">
        <v>0.0886</v>
      </c>
      <c r="K104" s="58">
        <v>0.511629</v>
      </c>
      <c r="L104" s="58"/>
      <c r="M104" s="59">
        <v>-10</v>
      </c>
      <c r="N104" s="55"/>
      <c r="O104" s="55">
        <v>1790</v>
      </c>
      <c r="P104" s="55" t="s">
        <v>178</v>
      </c>
      <c r="Q104" s="14"/>
      <c r="R104" s="15"/>
      <c r="S104" s="16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s="45" customFormat="1" ht="24.75" customHeight="1">
      <c r="A105" s="55" t="s">
        <v>189</v>
      </c>
      <c r="B105" s="56">
        <v>45.9633</v>
      </c>
      <c r="C105" s="56">
        <v>13.8333</v>
      </c>
      <c r="D105" s="55" t="s">
        <v>174</v>
      </c>
      <c r="E105" s="67"/>
      <c r="F105" s="55" t="s">
        <v>187</v>
      </c>
      <c r="G105" s="66" t="s">
        <v>176</v>
      </c>
      <c r="H105" s="55">
        <v>4.51</v>
      </c>
      <c r="I105" s="55">
        <v>23.1</v>
      </c>
      <c r="J105" s="56">
        <v>0.118</v>
      </c>
      <c r="K105" s="58">
        <v>0.511773</v>
      </c>
      <c r="L105" s="58"/>
      <c r="M105" s="59" t="s">
        <v>259</v>
      </c>
      <c r="N105" s="55"/>
      <c r="O105" s="55">
        <v>2120</v>
      </c>
      <c r="P105" s="55" t="s">
        <v>178</v>
      </c>
      <c r="Q105" s="14"/>
      <c r="R105" s="15"/>
      <c r="S105" s="16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s="45" customFormat="1" ht="24.75" customHeight="1">
      <c r="A106" s="55" t="s">
        <v>190</v>
      </c>
      <c r="B106" s="56">
        <v>46.045</v>
      </c>
      <c r="C106" s="56">
        <v>13.865</v>
      </c>
      <c r="D106" s="55" t="s">
        <v>174</v>
      </c>
      <c r="E106" s="67"/>
      <c r="F106" s="55" t="s">
        <v>187</v>
      </c>
      <c r="G106" s="66" t="s">
        <v>176</v>
      </c>
      <c r="H106" s="55">
        <v>3.697</v>
      </c>
      <c r="I106" s="55">
        <v>30.25</v>
      </c>
      <c r="J106" s="56">
        <v>0.0738</v>
      </c>
      <c r="K106" s="58">
        <v>0.510596</v>
      </c>
      <c r="L106" s="58"/>
      <c r="M106" s="59">
        <v>-28.9</v>
      </c>
      <c r="N106" s="55"/>
      <c r="O106" s="55">
        <v>2730</v>
      </c>
      <c r="P106" s="55" t="s">
        <v>178</v>
      </c>
      <c r="Q106" s="14"/>
      <c r="R106" s="15"/>
      <c r="S106" s="16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s="45" customFormat="1" ht="24.75" customHeight="1">
      <c r="A107" s="55" t="s">
        <v>191</v>
      </c>
      <c r="B107" s="56">
        <v>46.0417</v>
      </c>
      <c r="C107" s="56">
        <v>13.8583</v>
      </c>
      <c r="D107" s="55" t="s">
        <v>174</v>
      </c>
      <c r="E107" s="67"/>
      <c r="F107" s="55" t="s">
        <v>187</v>
      </c>
      <c r="G107" s="66" t="s">
        <v>176</v>
      </c>
      <c r="H107" s="55">
        <v>1.628</v>
      </c>
      <c r="I107" s="55">
        <v>10.42</v>
      </c>
      <c r="J107" s="56">
        <v>0.0944</v>
      </c>
      <c r="K107" s="58">
        <v>0.510903</v>
      </c>
      <c r="L107" s="58"/>
      <c r="M107" s="59">
        <v>-24.7</v>
      </c>
      <c r="N107" s="55"/>
      <c r="O107" s="55">
        <v>2820</v>
      </c>
      <c r="P107" s="55" t="s">
        <v>178</v>
      </c>
      <c r="Q107" s="14"/>
      <c r="R107" s="15"/>
      <c r="S107" s="16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s="45" customFormat="1" ht="24.75" customHeight="1">
      <c r="A108" s="55" t="s">
        <v>192</v>
      </c>
      <c r="B108" s="56">
        <v>45.995</v>
      </c>
      <c r="C108" s="56">
        <v>13.835</v>
      </c>
      <c r="D108" s="55" t="s">
        <v>174</v>
      </c>
      <c r="E108" s="67"/>
      <c r="F108" s="55" t="s">
        <v>187</v>
      </c>
      <c r="G108" s="66" t="s">
        <v>176</v>
      </c>
      <c r="H108" s="55">
        <v>0.373</v>
      </c>
      <c r="I108" s="55">
        <v>2.03</v>
      </c>
      <c r="J108" s="56">
        <v>0.1109</v>
      </c>
      <c r="K108" s="58">
        <v>0.511214</v>
      </c>
      <c r="L108" s="58"/>
      <c r="M108" s="59">
        <v>-20.1</v>
      </c>
      <c r="N108" s="55"/>
      <c r="O108" s="55">
        <v>2810</v>
      </c>
      <c r="P108" s="55" t="s">
        <v>178</v>
      </c>
      <c r="Q108" s="14"/>
      <c r="R108" s="15"/>
      <c r="S108" s="16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s="45" customFormat="1" ht="24.75" customHeight="1">
      <c r="A109" s="55" t="s">
        <v>193</v>
      </c>
      <c r="B109" s="56">
        <v>45.79</v>
      </c>
      <c r="C109" s="56">
        <v>13.7</v>
      </c>
      <c r="D109" s="55" t="s">
        <v>174</v>
      </c>
      <c r="E109" s="67"/>
      <c r="F109" s="55" t="s">
        <v>187</v>
      </c>
      <c r="G109" s="66" t="s">
        <v>176</v>
      </c>
      <c r="H109" s="55">
        <v>16.59</v>
      </c>
      <c r="I109" s="55">
        <v>73.07</v>
      </c>
      <c r="J109" s="56">
        <v>0.1372</v>
      </c>
      <c r="K109" s="58">
        <v>0.511648</v>
      </c>
      <c r="L109" s="58"/>
      <c r="M109" s="59">
        <v>-14</v>
      </c>
      <c r="N109" s="55"/>
      <c r="O109" s="55">
        <v>2920</v>
      </c>
      <c r="P109" s="55" t="s">
        <v>178</v>
      </c>
      <c r="Q109" s="14"/>
      <c r="R109" s="15"/>
      <c r="S109" s="16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s="45" customFormat="1" ht="24.75" customHeight="1">
      <c r="A110" s="55" t="s">
        <v>195</v>
      </c>
      <c r="B110" s="56">
        <v>45.45</v>
      </c>
      <c r="C110" s="56">
        <v>14.1167</v>
      </c>
      <c r="D110" s="55" t="s">
        <v>200</v>
      </c>
      <c r="E110" s="67"/>
      <c r="F110" s="55" t="s">
        <v>201</v>
      </c>
      <c r="G110" s="66" t="s">
        <v>176</v>
      </c>
      <c r="H110" s="55">
        <v>1.488</v>
      </c>
      <c r="I110" s="55">
        <v>5.421</v>
      </c>
      <c r="J110" s="56">
        <v>0.1651</v>
      </c>
      <c r="K110" s="58">
        <v>0.512715</v>
      </c>
      <c r="L110" s="58"/>
      <c r="M110" s="59">
        <v>4.3</v>
      </c>
      <c r="N110" s="55"/>
      <c r="O110" s="55">
        <v>1190</v>
      </c>
      <c r="P110" s="55" t="s">
        <v>178</v>
      </c>
      <c r="Q110" s="14"/>
      <c r="R110" s="15"/>
      <c r="S110" s="16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s="45" customFormat="1" ht="24.75" customHeight="1">
      <c r="A111" s="55" t="s">
        <v>196</v>
      </c>
      <c r="B111" s="56">
        <v>45.7167</v>
      </c>
      <c r="C111" s="56">
        <v>14.05</v>
      </c>
      <c r="D111" s="55" t="s">
        <v>200</v>
      </c>
      <c r="E111" s="67"/>
      <c r="F111" s="55" t="s">
        <v>201</v>
      </c>
      <c r="G111" s="66" t="s">
        <v>176</v>
      </c>
      <c r="H111" s="55">
        <v>11.34</v>
      </c>
      <c r="I111" s="55">
        <v>51.45</v>
      </c>
      <c r="J111" s="56">
        <v>0.1333</v>
      </c>
      <c r="K111" s="58">
        <v>0.511772</v>
      </c>
      <c r="L111" s="58"/>
      <c r="M111" s="59">
        <v>-11.2</v>
      </c>
      <c r="N111" s="55"/>
      <c r="O111" s="55">
        <v>2540</v>
      </c>
      <c r="P111" s="55" t="s">
        <v>178</v>
      </c>
      <c r="Q111" s="14"/>
      <c r="R111" s="15"/>
      <c r="S111" s="16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s="45" customFormat="1" ht="24.75" customHeight="1">
      <c r="A112" s="55" t="s">
        <v>197</v>
      </c>
      <c r="B112" s="56">
        <v>45.7333</v>
      </c>
      <c r="C112" s="56">
        <v>14.0667</v>
      </c>
      <c r="D112" s="55" t="s">
        <v>200</v>
      </c>
      <c r="E112" s="67"/>
      <c r="F112" s="55" t="s">
        <v>201</v>
      </c>
      <c r="G112" s="66" t="s">
        <v>176</v>
      </c>
      <c r="H112" s="55">
        <v>2.679</v>
      </c>
      <c r="I112" s="55">
        <v>14.79</v>
      </c>
      <c r="J112" s="56">
        <v>0.1095</v>
      </c>
      <c r="K112" s="58">
        <v>0.51168</v>
      </c>
      <c r="L112" s="58"/>
      <c r="M112" s="59">
        <v>-10.9</v>
      </c>
      <c r="N112" s="55"/>
      <c r="O112" s="55">
        <v>2080</v>
      </c>
      <c r="P112" s="55" t="s">
        <v>178</v>
      </c>
      <c r="Q112" s="14"/>
      <c r="R112" s="15"/>
      <c r="S112" s="16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s="45" customFormat="1" ht="24.75" customHeight="1">
      <c r="A113" s="55" t="s">
        <v>198</v>
      </c>
      <c r="B113" s="56">
        <v>45.7</v>
      </c>
      <c r="C113" s="56">
        <v>13.95</v>
      </c>
      <c r="D113" s="55" t="s">
        <v>200</v>
      </c>
      <c r="E113" s="67"/>
      <c r="F113" s="55" t="s">
        <v>201</v>
      </c>
      <c r="G113" s="66" t="s">
        <v>176</v>
      </c>
      <c r="H113" s="55">
        <v>15.03</v>
      </c>
      <c r="I113" s="55">
        <v>87.68</v>
      </c>
      <c r="J113" s="56">
        <v>0.1036</v>
      </c>
      <c r="K113" s="58">
        <v>0.511621</v>
      </c>
      <c r="L113" s="58"/>
      <c r="M113" s="59">
        <v>-11.5</v>
      </c>
      <c r="N113" s="55"/>
      <c r="O113" s="55">
        <v>2050</v>
      </c>
      <c r="P113" s="55" t="s">
        <v>178</v>
      </c>
      <c r="Q113" s="14"/>
      <c r="R113" s="15"/>
      <c r="S113" s="16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s="45" customFormat="1" ht="24.75" customHeight="1">
      <c r="A114" s="55" t="s">
        <v>199</v>
      </c>
      <c r="B114" s="56">
        <v>45.8</v>
      </c>
      <c r="C114" s="56">
        <v>13.9</v>
      </c>
      <c r="D114" s="55" t="s">
        <v>200</v>
      </c>
      <c r="E114" s="67"/>
      <c r="F114" s="55" t="s">
        <v>201</v>
      </c>
      <c r="G114" s="66" t="s">
        <v>176</v>
      </c>
      <c r="H114" s="55">
        <v>3.464</v>
      </c>
      <c r="I114" s="55">
        <v>22.08</v>
      </c>
      <c r="J114" s="56">
        <v>0.0948</v>
      </c>
      <c r="K114" s="58">
        <v>0.511546</v>
      </c>
      <c r="L114" s="58"/>
      <c r="M114" s="59">
        <v>-12.2</v>
      </c>
      <c r="N114" s="55"/>
      <c r="O114" s="55">
        <v>1990</v>
      </c>
      <c r="P114" s="55" t="s">
        <v>178</v>
      </c>
      <c r="Q114" s="14"/>
      <c r="R114" s="15"/>
      <c r="S114" s="16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s="45" customFormat="1" ht="24.75" customHeight="1">
      <c r="A115" s="55" t="s">
        <v>203</v>
      </c>
      <c r="B115" s="56">
        <v>45.085</v>
      </c>
      <c r="C115" s="56">
        <v>14.3517</v>
      </c>
      <c r="D115" s="55" t="s">
        <v>174</v>
      </c>
      <c r="E115" s="67"/>
      <c r="F115" s="55" t="s">
        <v>177</v>
      </c>
      <c r="G115" s="66" t="s">
        <v>176</v>
      </c>
      <c r="H115" s="55">
        <v>6.014</v>
      </c>
      <c r="I115" s="55">
        <v>31.68</v>
      </c>
      <c r="J115" s="56">
        <v>0.1147</v>
      </c>
      <c r="K115" s="58">
        <v>0.511793</v>
      </c>
      <c r="L115" s="58"/>
      <c r="M115" s="59"/>
      <c r="N115" s="55"/>
      <c r="O115" s="55">
        <v>2010</v>
      </c>
      <c r="P115" s="55" t="s">
        <v>217</v>
      </c>
      <c r="Q115" s="14"/>
      <c r="R115" s="15"/>
      <c r="S115" s="16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s="45" customFormat="1" ht="24.75" customHeight="1">
      <c r="A116" s="55" t="s">
        <v>202</v>
      </c>
      <c r="B116" s="56">
        <v>45.1817</v>
      </c>
      <c r="C116" s="56">
        <v>14.325</v>
      </c>
      <c r="D116" s="55" t="s">
        <v>213</v>
      </c>
      <c r="E116" s="67"/>
      <c r="F116" s="55" t="s">
        <v>177</v>
      </c>
      <c r="G116" s="66" t="s">
        <v>176</v>
      </c>
      <c r="H116" s="55">
        <v>4.087</v>
      </c>
      <c r="I116" s="55">
        <v>21.77</v>
      </c>
      <c r="J116" s="56">
        <v>0.1135</v>
      </c>
      <c r="K116" s="58">
        <v>0.512108</v>
      </c>
      <c r="L116" s="58"/>
      <c r="M116" s="59"/>
      <c r="N116" s="55"/>
      <c r="O116" s="55">
        <v>1510</v>
      </c>
      <c r="P116" s="55" t="s">
        <v>217</v>
      </c>
      <c r="Q116" s="14"/>
      <c r="R116" s="15"/>
      <c r="S116" s="16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s="45" customFormat="1" ht="24.75" customHeight="1">
      <c r="A117" s="55" t="s">
        <v>204</v>
      </c>
      <c r="B117" s="56">
        <v>45.2183</v>
      </c>
      <c r="C117" s="56">
        <v>14.3017</v>
      </c>
      <c r="D117" s="55" t="s">
        <v>174</v>
      </c>
      <c r="E117" s="67"/>
      <c r="F117" s="55" t="s">
        <v>177</v>
      </c>
      <c r="G117" s="66" t="s">
        <v>176</v>
      </c>
      <c r="H117" s="55">
        <v>5.661</v>
      </c>
      <c r="I117" s="55">
        <v>64.26</v>
      </c>
      <c r="J117" s="56">
        <v>0.0999</v>
      </c>
      <c r="K117" s="58">
        <v>0.511725</v>
      </c>
      <c r="L117" s="58"/>
      <c r="M117" s="59"/>
      <c r="N117" s="55"/>
      <c r="O117" s="55">
        <v>1840</v>
      </c>
      <c r="P117" s="55" t="s">
        <v>217</v>
      </c>
      <c r="Q117" s="14"/>
      <c r="R117" s="15"/>
      <c r="S117" s="16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s="45" customFormat="1" ht="24.75" customHeight="1">
      <c r="A118" s="55" t="s">
        <v>205</v>
      </c>
      <c r="B118" s="56">
        <v>45.3633</v>
      </c>
      <c r="C118" s="56">
        <v>14.2533</v>
      </c>
      <c r="D118" s="55" t="s">
        <v>214</v>
      </c>
      <c r="E118" s="67"/>
      <c r="F118" s="55" t="s">
        <v>177</v>
      </c>
      <c r="G118" s="66" t="s">
        <v>176</v>
      </c>
      <c r="H118" s="55">
        <v>15.99</v>
      </c>
      <c r="I118" s="55">
        <v>73.08</v>
      </c>
      <c r="J118" s="56">
        <v>0.1323</v>
      </c>
      <c r="K118" s="58">
        <v>0.51263</v>
      </c>
      <c r="L118" s="58"/>
      <c r="M118" s="59"/>
      <c r="N118" s="55"/>
      <c r="O118" s="55">
        <v>1380</v>
      </c>
      <c r="P118" s="55" t="s">
        <v>217</v>
      </c>
      <c r="Q118" s="14"/>
      <c r="R118" s="15"/>
      <c r="S118" s="16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s="45" customFormat="1" ht="24.75" customHeight="1">
      <c r="A119" s="55" t="s">
        <v>206</v>
      </c>
      <c r="B119" s="56">
        <v>45.395</v>
      </c>
      <c r="C119" s="56">
        <v>14.175</v>
      </c>
      <c r="D119" s="55" t="s">
        <v>214</v>
      </c>
      <c r="E119" s="67"/>
      <c r="F119" s="55" t="s">
        <v>177</v>
      </c>
      <c r="G119" s="66" t="s">
        <v>176</v>
      </c>
      <c r="H119" s="55">
        <v>7.582</v>
      </c>
      <c r="I119" s="55">
        <v>37.7</v>
      </c>
      <c r="J119" s="56">
        <v>0.1216</v>
      </c>
      <c r="K119" s="58">
        <v>0.512348</v>
      </c>
      <c r="L119" s="58"/>
      <c r="M119" s="59"/>
      <c r="N119" s="55"/>
      <c r="O119" s="55">
        <v>1250</v>
      </c>
      <c r="P119" s="55" t="s">
        <v>217</v>
      </c>
      <c r="Q119" s="14"/>
      <c r="R119" s="15"/>
      <c r="S119" s="16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s="45" customFormat="1" ht="24.75" customHeight="1">
      <c r="A120" s="55" t="s">
        <v>207</v>
      </c>
      <c r="B120" s="56">
        <v>45.915</v>
      </c>
      <c r="C120" s="56">
        <v>14.41</v>
      </c>
      <c r="D120" s="55" t="s">
        <v>215</v>
      </c>
      <c r="E120" s="67"/>
      <c r="F120" s="55" t="s">
        <v>177</v>
      </c>
      <c r="G120" s="66" t="s">
        <v>176</v>
      </c>
      <c r="H120" s="55">
        <v>3.71</v>
      </c>
      <c r="I120" s="55">
        <v>19.97</v>
      </c>
      <c r="J120" s="56">
        <v>0.1182</v>
      </c>
      <c r="K120" s="58">
        <v>0.512107</v>
      </c>
      <c r="L120" s="58"/>
      <c r="M120" s="59"/>
      <c r="N120" s="55"/>
      <c r="O120" s="55">
        <v>1590</v>
      </c>
      <c r="P120" s="55" t="s">
        <v>217</v>
      </c>
      <c r="Q120" s="14"/>
      <c r="R120" s="15"/>
      <c r="S120" s="16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s="45" customFormat="1" ht="24.75" customHeight="1">
      <c r="A121" s="55" t="s">
        <v>208</v>
      </c>
      <c r="B121" s="56">
        <v>45.1817</v>
      </c>
      <c r="C121" s="56">
        <v>14.325</v>
      </c>
      <c r="D121" s="55" t="s">
        <v>215</v>
      </c>
      <c r="E121" s="67"/>
      <c r="F121" s="55" t="s">
        <v>177</v>
      </c>
      <c r="G121" s="66" t="s">
        <v>176</v>
      </c>
      <c r="H121" s="55">
        <v>2.227</v>
      </c>
      <c r="I121" s="55">
        <v>10.67</v>
      </c>
      <c r="J121" s="56">
        <v>0.1261</v>
      </c>
      <c r="K121" s="58">
        <v>0.511224</v>
      </c>
      <c r="L121" s="58"/>
      <c r="M121" s="59"/>
      <c r="N121" s="55"/>
      <c r="O121" s="55">
        <v>3290</v>
      </c>
      <c r="P121" s="55" t="s">
        <v>217</v>
      </c>
      <c r="Q121" s="14"/>
      <c r="R121" s="15"/>
      <c r="S121" s="16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s="45" customFormat="1" ht="24.75" customHeight="1">
      <c r="A122" s="55" t="s">
        <v>209</v>
      </c>
      <c r="B122" s="56">
        <v>45.1817</v>
      </c>
      <c r="C122" s="56">
        <v>14.325</v>
      </c>
      <c r="D122" s="55" t="s">
        <v>215</v>
      </c>
      <c r="E122" s="67"/>
      <c r="F122" s="55" t="s">
        <v>177</v>
      </c>
      <c r="G122" s="66" t="s">
        <v>176</v>
      </c>
      <c r="H122" s="55">
        <v>2.155</v>
      </c>
      <c r="I122" s="55">
        <v>10.35</v>
      </c>
      <c r="J122" s="56">
        <v>0.1258</v>
      </c>
      <c r="K122" s="58">
        <v>0.511271</v>
      </c>
      <c r="L122" s="58"/>
      <c r="M122" s="59"/>
      <c r="N122" s="55"/>
      <c r="O122" s="55">
        <v>3190</v>
      </c>
      <c r="P122" s="55" t="s">
        <v>217</v>
      </c>
      <c r="Q122" s="14"/>
      <c r="R122" s="15"/>
      <c r="S122" s="16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s="45" customFormat="1" ht="24.75" customHeight="1">
      <c r="A123" s="55" t="s">
        <v>210</v>
      </c>
      <c r="B123" s="56">
        <v>45.375</v>
      </c>
      <c r="C123" s="56">
        <v>14.21</v>
      </c>
      <c r="D123" s="55" t="s">
        <v>215</v>
      </c>
      <c r="E123" s="67"/>
      <c r="F123" s="55" t="s">
        <v>177</v>
      </c>
      <c r="G123" s="66" t="s">
        <v>176</v>
      </c>
      <c r="H123" s="55">
        <v>2.831</v>
      </c>
      <c r="I123" s="55">
        <v>17.68</v>
      </c>
      <c r="J123" s="56">
        <v>0.0968</v>
      </c>
      <c r="K123" s="58">
        <v>0.512305</v>
      </c>
      <c r="L123" s="58"/>
      <c r="M123" s="59"/>
      <c r="N123" s="55"/>
      <c r="O123" s="55"/>
      <c r="P123" s="55" t="s">
        <v>217</v>
      </c>
      <c r="Q123" s="14"/>
      <c r="R123" s="15"/>
      <c r="S123" s="16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s="45" customFormat="1" ht="24.75" customHeight="1">
      <c r="A124" s="55" t="s">
        <v>211</v>
      </c>
      <c r="B124" s="56">
        <v>45.6667</v>
      </c>
      <c r="C124" s="56">
        <v>15.19</v>
      </c>
      <c r="D124" s="55" t="s">
        <v>216</v>
      </c>
      <c r="E124" s="67"/>
      <c r="F124" s="55" t="s">
        <v>177</v>
      </c>
      <c r="G124" s="66" t="s">
        <v>176</v>
      </c>
      <c r="H124" s="55"/>
      <c r="I124" s="55"/>
      <c r="J124" s="56"/>
      <c r="K124" s="58">
        <v>0.511944</v>
      </c>
      <c r="L124" s="58"/>
      <c r="M124" s="59"/>
      <c r="N124" s="55"/>
      <c r="O124" s="55"/>
      <c r="P124" s="55" t="s">
        <v>217</v>
      </c>
      <c r="Q124" s="14"/>
      <c r="R124" s="15"/>
      <c r="S124" s="16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s="45" customFormat="1" ht="24.75" customHeight="1">
      <c r="A125" s="55" t="s">
        <v>212</v>
      </c>
      <c r="B125" s="56">
        <v>45.6883</v>
      </c>
      <c r="C125" s="56">
        <v>15.2</v>
      </c>
      <c r="D125" s="55" t="s">
        <v>216</v>
      </c>
      <c r="E125" s="67"/>
      <c r="F125" s="55" t="s">
        <v>177</v>
      </c>
      <c r="G125" s="66" t="s">
        <v>176</v>
      </c>
      <c r="H125" s="55"/>
      <c r="I125" s="55"/>
      <c r="J125" s="56"/>
      <c r="K125" s="58">
        <v>0.512073</v>
      </c>
      <c r="L125" s="58"/>
      <c r="M125" s="59"/>
      <c r="N125" s="55"/>
      <c r="O125" s="55"/>
      <c r="P125" s="55" t="s">
        <v>217</v>
      </c>
      <c r="Q125" s="14"/>
      <c r="R125" s="15"/>
      <c r="S125" s="16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s="45" customFormat="1" ht="24.75" customHeight="1">
      <c r="A126" s="55" t="s">
        <v>218</v>
      </c>
      <c r="B126" s="56">
        <v>45.79</v>
      </c>
      <c r="C126" s="56">
        <v>13.8667</v>
      </c>
      <c r="D126" s="55" t="s">
        <v>227</v>
      </c>
      <c r="E126" s="67"/>
      <c r="F126" s="55" t="s">
        <v>201</v>
      </c>
      <c r="G126" s="66" t="s">
        <v>176</v>
      </c>
      <c r="H126" s="55"/>
      <c r="I126" s="55"/>
      <c r="J126" s="56"/>
      <c r="K126" s="58"/>
      <c r="L126" s="58"/>
      <c r="M126" s="59"/>
      <c r="N126" s="55"/>
      <c r="O126" s="55"/>
      <c r="P126" s="55" t="s">
        <v>217</v>
      </c>
      <c r="Q126" s="14"/>
      <c r="R126" s="15"/>
      <c r="S126" s="16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s="45" customFormat="1" ht="24.75" customHeight="1">
      <c r="A127" s="55" t="s">
        <v>219</v>
      </c>
      <c r="B127" s="56">
        <v>45.4467</v>
      </c>
      <c r="C127" s="56">
        <v>14.1</v>
      </c>
      <c r="D127" s="55" t="s">
        <v>174</v>
      </c>
      <c r="E127" s="67"/>
      <c r="F127" s="55" t="s">
        <v>201</v>
      </c>
      <c r="G127" s="66" t="s">
        <v>176</v>
      </c>
      <c r="H127" s="55">
        <v>1.196</v>
      </c>
      <c r="I127" s="55">
        <v>6.521</v>
      </c>
      <c r="J127" s="56">
        <v>0.1109</v>
      </c>
      <c r="K127" s="58">
        <v>0.512141</v>
      </c>
      <c r="L127" s="58"/>
      <c r="M127" s="59"/>
      <c r="N127" s="55"/>
      <c r="O127" s="55">
        <v>1020</v>
      </c>
      <c r="P127" s="55" t="s">
        <v>217</v>
      </c>
      <c r="Q127" s="14"/>
      <c r="R127" s="15"/>
      <c r="S127" s="16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s="45" customFormat="1" ht="24.75" customHeight="1">
      <c r="A128" s="55" t="s">
        <v>220</v>
      </c>
      <c r="B128" s="56">
        <v>45.6617</v>
      </c>
      <c r="C128" s="56">
        <v>13.9917</v>
      </c>
      <c r="D128" s="55" t="s">
        <v>213</v>
      </c>
      <c r="E128" s="67"/>
      <c r="F128" s="55" t="s">
        <v>201</v>
      </c>
      <c r="G128" s="66" t="s">
        <v>176</v>
      </c>
      <c r="H128" s="55">
        <v>4.533</v>
      </c>
      <c r="I128" s="55">
        <v>29.86</v>
      </c>
      <c r="J128" s="56">
        <v>0.0917</v>
      </c>
      <c r="K128" s="58">
        <v>0.511622</v>
      </c>
      <c r="L128" s="58"/>
      <c r="M128" s="59"/>
      <c r="N128" s="55"/>
      <c r="O128" s="55">
        <v>1850</v>
      </c>
      <c r="P128" s="55" t="s">
        <v>217</v>
      </c>
      <c r="Q128" s="14"/>
      <c r="R128" s="15"/>
      <c r="S128" s="16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s="45" customFormat="1" ht="24.75" customHeight="1">
      <c r="A129" s="55" t="s">
        <v>221</v>
      </c>
      <c r="B129" s="56">
        <v>45.78633</v>
      </c>
      <c r="C129" s="56">
        <v>14.0617</v>
      </c>
      <c r="D129" s="55" t="s">
        <v>228</v>
      </c>
      <c r="E129" s="67"/>
      <c r="F129" s="55" t="s">
        <v>201</v>
      </c>
      <c r="G129" s="66" t="s">
        <v>176</v>
      </c>
      <c r="H129" s="55">
        <v>3.768</v>
      </c>
      <c r="I129" s="55">
        <v>15.75</v>
      </c>
      <c r="J129" s="56">
        <v>0.1446</v>
      </c>
      <c r="K129" s="58">
        <v>0.511971</v>
      </c>
      <c r="L129" s="58"/>
      <c r="M129" s="59"/>
      <c r="N129" s="55"/>
      <c r="O129" s="55">
        <v>2510</v>
      </c>
      <c r="P129" s="55" t="s">
        <v>217</v>
      </c>
      <c r="Q129" s="14"/>
      <c r="R129" s="15"/>
      <c r="S129" s="16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s="45" customFormat="1" ht="24.75" customHeight="1">
      <c r="A130" s="55" t="s">
        <v>222</v>
      </c>
      <c r="B130" s="56">
        <v>45.8033</v>
      </c>
      <c r="C130" s="56">
        <v>14.08</v>
      </c>
      <c r="D130" s="55" t="s">
        <v>228</v>
      </c>
      <c r="E130" s="67"/>
      <c r="F130" s="55" t="s">
        <v>201</v>
      </c>
      <c r="G130" s="66" t="s">
        <v>176</v>
      </c>
      <c r="H130" s="55">
        <v>4.042</v>
      </c>
      <c r="I130" s="55">
        <v>19.61</v>
      </c>
      <c r="J130" s="56">
        <v>0.1246</v>
      </c>
      <c r="K130" s="58">
        <v>0.511433</v>
      </c>
      <c r="L130" s="58"/>
      <c r="M130" s="59"/>
      <c r="N130" s="55"/>
      <c r="O130" s="55">
        <v>2870</v>
      </c>
      <c r="P130" s="55" t="s">
        <v>217</v>
      </c>
      <c r="Q130" s="14"/>
      <c r="R130" s="15"/>
      <c r="S130" s="16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s="45" customFormat="1" ht="24.75" customHeight="1">
      <c r="A131" s="55" t="s">
        <v>223</v>
      </c>
      <c r="B131" s="56">
        <v>45.5667</v>
      </c>
      <c r="C131" s="56">
        <v>14.02</v>
      </c>
      <c r="D131" s="55" t="s">
        <v>175</v>
      </c>
      <c r="E131" s="67"/>
      <c r="F131" s="55" t="s">
        <v>201</v>
      </c>
      <c r="G131" s="66" t="s">
        <v>176</v>
      </c>
      <c r="H131" s="55">
        <v>0.843</v>
      </c>
      <c r="I131" s="55">
        <v>4.237</v>
      </c>
      <c r="J131" s="56">
        <v>0.1202</v>
      </c>
      <c r="K131" s="58">
        <v>0.512078</v>
      </c>
      <c r="L131" s="58"/>
      <c r="M131" s="59"/>
      <c r="N131" s="55"/>
      <c r="O131" s="55">
        <v>1660</v>
      </c>
      <c r="P131" s="55" t="s">
        <v>217</v>
      </c>
      <c r="Q131" s="14"/>
      <c r="R131" s="15"/>
      <c r="S131" s="16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s="45" customFormat="1" ht="24.75" customHeight="1">
      <c r="A132" s="55" t="s">
        <v>224</v>
      </c>
      <c r="B132" s="56">
        <v>45.5383</v>
      </c>
      <c r="C132" s="56">
        <v>14.0333</v>
      </c>
      <c r="D132" s="55" t="s">
        <v>174</v>
      </c>
      <c r="E132" s="67"/>
      <c r="F132" s="55" t="s">
        <v>201</v>
      </c>
      <c r="G132" s="66" t="s">
        <v>176</v>
      </c>
      <c r="H132" s="55">
        <v>5.036</v>
      </c>
      <c r="I132" s="55">
        <v>23.53</v>
      </c>
      <c r="J132" s="56">
        <v>0.1293</v>
      </c>
      <c r="K132" s="58">
        <v>0.512091</v>
      </c>
      <c r="L132" s="58"/>
      <c r="M132" s="59"/>
      <c r="N132" s="55"/>
      <c r="O132" s="55">
        <v>1840</v>
      </c>
      <c r="P132" s="55" t="s">
        <v>217</v>
      </c>
      <c r="Q132" s="14"/>
      <c r="R132" s="15"/>
      <c r="S132" s="16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s="45" customFormat="1" ht="24.75" customHeight="1">
      <c r="A133" s="55" t="s">
        <v>229</v>
      </c>
      <c r="B133" s="56">
        <v>45.5383</v>
      </c>
      <c r="C133" s="56">
        <v>14.0333</v>
      </c>
      <c r="D133" s="55" t="s">
        <v>174</v>
      </c>
      <c r="E133" s="67"/>
      <c r="F133" s="55" t="s">
        <v>201</v>
      </c>
      <c r="G133" s="66" t="s">
        <v>176</v>
      </c>
      <c r="H133" s="55">
        <v>2.531</v>
      </c>
      <c r="I133" s="55">
        <v>13.3</v>
      </c>
      <c r="J133" s="56">
        <v>0.115</v>
      </c>
      <c r="K133" s="58">
        <v>0.511783</v>
      </c>
      <c r="L133" s="58"/>
      <c r="M133" s="59"/>
      <c r="N133" s="55"/>
      <c r="O133" s="55">
        <v>2040</v>
      </c>
      <c r="P133" s="55" t="s">
        <v>217</v>
      </c>
      <c r="Q133" s="14"/>
      <c r="R133" s="15"/>
      <c r="S133" s="16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s="45" customFormat="1" ht="24.75" customHeight="1">
      <c r="A134" s="55" t="s">
        <v>225</v>
      </c>
      <c r="B134" s="56">
        <v>45.5383</v>
      </c>
      <c r="C134" s="56">
        <v>13.9617</v>
      </c>
      <c r="D134" s="55" t="s">
        <v>215</v>
      </c>
      <c r="E134" s="67"/>
      <c r="F134" s="55" t="s">
        <v>201</v>
      </c>
      <c r="G134" s="66" t="s">
        <v>176</v>
      </c>
      <c r="H134" s="55">
        <v>6.487</v>
      </c>
      <c r="I134" s="55">
        <v>30.89</v>
      </c>
      <c r="J134" s="56">
        <v>0.127</v>
      </c>
      <c r="K134" s="58">
        <v>0.511961</v>
      </c>
      <c r="L134" s="58"/>
      <c r="M134" s="59"/>
      <c r="N134" s="55"/>
      <c r="O134" s="55">
        <v>2000</v>
      </c>
      <c r="P134" s="55" t="s">
        <v>217</v>
      </c>
      <c r="Q134" s="14"/>
      <c r="R134" s="15"/>
      <c r="S134" s="16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s="45" customFormat="1" ht="24.75" customHeight="1">
      <c r="A135" s="55" t="s">
        <v>226</v>
      </c>
      <c r="B135" s="56">
        <v>45.4583</v>
      </c>
      <c r="C135" s="56">
        <v>14.0917</v>
      </c>
      <c r="D135" s="55" t="s">
        <v>215</v>
      </c>
      <c r="E135" s="67"/>
      <c r="F135" s="55" t="s">
        <v>201</v>
      </c>
      <c r="G135" s="66" t="s">
        <v>176</v>
      </c>
      <c r="H135" s="55">
        <v>4.762</v>
      </c>
      <c r="I135" s="55">
        <v>16.66</v>
      </c>
      <c r="J135" s="56">
        <v>0.1728</v>
      </c>
      <c r="K135" s="58">
        <v>0.512789</v>
      </c>
      <c r="L135" s="58"/>
      <c r="M135" s="59"/>
      <c r="N135" s="55"/>
      <c r="O135" s="55">
        <v>1120</v>
      </c>
      <c r="P135" s="55" t="s">
        <v>217</v>
      </c>
      <c r="Q135" s="14"/>
      <c r="R135" s="15"/>
      <c r="S135" s="16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s="45" customFormat="1" ht="24.75" customHeight="1">
      <c r="A136" s="55" t="s">
        <v>230</v>
      </c>
      <c r="B136" s="56">
        <v>43.4167</v>
      </c>
      <c r="C136" s="56">
        <v>15.0167</v>
      </c>
      <c r="D136" s="55" t="s">
        <v>235</v>
      </c>
      <c r="E136" s="67"/>
      <c r="F136" s="55" t="s">
        <v>234</v>
      </c>
      <c r="G136" s="66" t="s">
        <v>176</v>
      </c>
      <c r="H136" s="55"/>
      <c r="I136" s="55"/>
      <c r="J136" s="56"/>
      <c r="K136" s="58">
        <v>0.51286</v>
      </c>
      <c r="L136" s="58"/>
      <c r="M136" s="59"/>
      <c r="N136" s="55"/>
      <c r="O136" s="55"/>
      <c r="P136" s="55" t="s">
        <v>217</v>
      </c>
      <c r="Q136" s="14"/>
      <c r="R136" s="15"/>
      <c r="S136" s="16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s="45" customFormat="1" ht="24.75" customHeight="1">
      <c r="A137" s="55" t="s">
        <v>231</v>
      </c>
      <c r="B137" s="56">
        <v>43.4167</v>
      </c>
      <c r="C137" s="56">
        <v>15.0167</v>
      </c>
      <c r="D137" s="55" t="s">
        <v>214</v>
      </c>
      <c r="E137" s="67"/>
      <c r="F137" s="55" t="s">
        <v>234</v>
      </c>
      <c r="G137" s="66" t="s">
        <v>176</v>
      </c>
      <c r="H137" s="55"/>
      <c r="I137" s="55"/>
      <c r="J137" s="56"/>
      <c r="K137" s="58">
        <v>0.51318</v>
      </c>
      <c r="L137" s="58"/>
      <c r="M137" s="59"/>
      <c r="N137" s="55"/>
      <c r="O137" s="55"/>
      <c r="P137" s="55" t="s">
        <v>217</v>
      </c>
      <c r="Q137" s="14"/>
      <c r="R137" s="15"/>
      <c r="S137" s="16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s="45" customFormat="1" ht="24.75" customHeight="1">
      <c r="A138" s="55" t="s">
        <v>232</v>
      </c>
      <c r="B138" s="56">
        <v>43.3883</v>
      </c>
      <c r="C138" s="56">
        <v>14.9667</v>
      </c>
      <c r="D138" s="55" t="s">
        <v>235</v>
      </c>
      <c r="E138" s="67"/>
      <c r="F138" s="55" t="s">
        <v>234</v>
      </c>
      <c r="G138" s="66" t="s">
        <v>176</v>
      </c>
      <c r="H138" s="55"/>
      <c r="I138" s="55"/>
      <c r="J138" s="56"/>
      <c r="K138" s="58">
        <v>0.512755</v>
      </c>
      <c r="L138" s="58"/>
      <c r="M138" s="59"/>
      <c r="N138" s="55"/>
      <c r="O138" s="55"/>
      <c r="P138" s="55" t="s">
        <v>217</v>
      </c>
      <c r="Q138" s="14"/>
      <c r="R138" s="15"/>
      <c r="S138" s="16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s="45" customFormat="1" ht="24.75" customHeight="1">
      <c r="A139" s="55" t="s">
        <v>233</v>
      </c>
      <c r="B139" s="56">
        <v>43.3883</v>
      </c>
      <c r="C139" s="56">
        <v>14.9667</v>
      </c>
      <c r="D139" s="55" t="s">
        <v>216</v>
      </c>
      <c r="E139" s="67"/>
      <c r="F139" s="55" t="s">
        <v>234</v>
      </c>
      <c r="G139" s="66" t="s">
        <v>176</v>
      </c>
      <c r="H139" s="55"/>
      <c r="I139" s="55"/>
      <c r="J139" s="56"/>
      <c r="K139" s="58">
        <v>0.512721</v>
      </c>
      <c r="L139" s="58"/>
      <c r="M139" s="59"/>
      <c r="N139" s="55"/>
      <c r="O139" s="55"/>
      <c r="P139" s="55" t="s">
        <v>217</v>
      </c>
      <c r="Q139" s="14"/>
      <c r="R139" s="15"/>
      <c r="S139" s="16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2">
      <c r="A140" s="22"/>
      <c r="B140" s="12"/>
      <c r="C140" s="23"/>
      <c r="D140" s="11"/>
      <c r="E140" s="24"/>
      <c r="F140" s="11"/>
      <c r="G140" s="19"/>
      <c r="H140" s="22"/>
      <c r="I140" s="22"/>
      <c r="J140" s="25"/>
      <c r="K140" s="26"/>
      <c r="L140" s="27"/>
      <c r="M140" s="28"/>
      <c r="N140" s="29"/>
      <c r="O140" s="29"/>
      <c r="P140" s="22"/>
      <c r="Q140" s="30"/>
      <c r="R140" s="31"/>
      <c r="S140" s="32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2">
      <c r="A141" s="22"/>
      <c r="B141" s="12"/>
      <c r="C141" s="23"/>
      <c r="D141" s="11"/>
      <c r="E141" s="24"/>
      <c r="F141" s="11"/>
      <c r="G141" s="19"/>
      <c r="H141" s="22"/>
      <c r="I141" s="22"/>
      <c r="J141" s="25"/>
      <c r="K141" s="26"/>
      <c r="L141" s="27"/>
      <c r="M141" s="28"/>
      <c r="N141" s="29"/>
      <c r="O141" s="29"/>
      <c r="P141" s="22"/>
      <c r="Q141" s="30"/>
      <c r="R141" s="31"/>
      <c r="S141" s="32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2">
      <c r="A142" s="22"/>
      <c r="B142" s="12"/>
      <c r="C142" s="23"/>
      <c r="D142" s="11"/>
      <c r="E142" s="24"/>
      <c r="F142" s="11"/>
      <c r="G142" s="19"/>
      <c r="H142" s="22"/>
      <c r="I142" s="22"/>
      <c r="J142" s="25"/>
      <c r="K142" s="26"/>
      <c r="L142" s="27"/>
      <c r="M142" s="28"/>
      <c r="N142" s="29"/>
      <c r="O142" s="29"/>
      <c r="P142" s="22"/>
      <c r="Q142" s="30"/>
      <c r="R142" s="31"/>
      <c r="S142" s="32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2">
      <c r="A143" s="22"/>
      <c r="B143" s="12"/>
      <c r="C143" s="23"/>
      <c r="D143" s="11"/>
      <c r="E143" s="24"/>
      <c r="F143" s="11"/>
      <c r="G143" s="19"/>
      <c r="H143" s="22"/>
      <c r="I143" s="22"/>
      <c r="J143" s="25"/>
      <c r="K143" s="26"/>
      <c r="L143" s="27"/>
      <c r="M143" s="28"/>
      <c r="N143" s="29"/>
      <c r="O143" s="29"/>
      <c r="P143" s="22"/>
      <c r="Q143" s="30"/>
      <c r="R143" s="31"/>
      <c r="S143" s="32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2">
      <c r="A144" s="22"/>
      <c r="B144" s="12"/>
      <c r="C144" s="23"/>
      <c r="D144" s="11"/>
      <c r="E144" s="24"/>
      <c r="F144" s="11"/>
      <c r="G144" s="19"/>
      <c r="H144" s="22"/>
      <c r="I144" s="22"/>
      <c r="J144" s="25"/>
      <c r="K144" s="26"/>
      <c r="L144" s="27"/>
      <c r="M144" s="28"/>
      <c r="N144" s="29"/>
      <c r="O144" s="29"/>
      <c r="P144" s="22"/>
      <c r="Q144" s="30"/>
      <c r="R144" s="31"/>
      <c r="S144" s="32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2">
      <c r="A145" s="22"/>
      <c r="B145" s="12"/>
      <c r="C145" s="23"/>
      <c r="D145" s="11"/>
      <c r="E145" s="24"/>
      <c r="F145" s="11"/>
      <c r="G145" s="19"/>
      <c r="H145" s="22"/>
      <c r="I145" s="22"/>
      <c r="J145" s="25"/>
      <c r="K145" s="26"/>
      <c r="L145" s="27"/>
      <c r="M145" s="28"/>
      <c r="N145" s="29"/>
      <c r="O145" s="29"/>
      <c r="P145" s="22"/>
      <c r="Q145" s="30"/>
      <c r="R145" s="31"/>
      <c r="S145" s="32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2">
      <c r="A146" s="22"/>
      <c r="B146" s="12"/>
      <c r="C146" s="23"/>
      <c r="D146" s="11"/>
      <c r="E146" s="24"/>
      <c r="F146" s="11"/>
      <c r="G146" s="19"/>
      <c r="H146" s="22"/>
      <c r="I146" s="22"/>
      <c r="J146" s="25"/>
      <c r="K146" s="26"/>
      <c r="L146" s="27"/>
      <c r="M146" s="28"/>
      <c r="N146" s="29"/>
      <c r="O146" s="29"/>
      <c r="P146" s="22"/>
      <c r="Q146" s="30"/>
      <c r="R146" s="31"/>
      <c r="S146" s="32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2">
      <c r="A147" s="22"/>
      <c r="B147" s="12"/>
      <c r="C147" s="23"/>
      <c r="D147" s="11"/>
      <c r="E147" s="24"/>
      <c r="F147" s="11"/>
      <c r="G147" s="19"/>
      <c r="H147" s="22"/>
      <c r="I147" s="22"/>
      <c r="J147" s="25"/>
      <c r="K147" s="26"/>
      <c r="L147" s="27"/>
      <c r="M147" s="28"/>
      <c r="N147" s="29"/>
      <c r="O147" s="29"/>
      <c r="P147" s="22"/>
      <c r="Q147" s="30"/>
      <c r="R147" s="31"/>
      <c r="S147" s="32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2">
      <c r="A148" s="22"/>
      <c r="B148" s="12"/>
      <c r="C148" s="23"/>
      <c r="D148" s="11"/>
      <c r="E148" s="24"/>
      <c r="F148" s="11"/>
      <c r="G148" s="19"/>
      <c r="H148" s="22"/>
      <c r="I148" s="22"/>
      <c r="J148" s="25"/>
      <c r="K148" s="26"/>
      <c r="L148" s="27"/>
      <c r="M148" s="28"/>
      <c r="N148" s="29"/>
      <c r="O148" s="29"/>
      <c r="P148" s="22"/>
      <c r="Q148" s="30"/>
      <c r="R148" s="31"/>
      <c r="S148" s="32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2">
      <c r="A149" s="22"/>
      <c r="B149" s="12"/>
      <c r="C149" s="23"/>
      <c r="D149" s="11"/>
      <c r="E149" s="24"/>
      <c r="F149" s="11"/>
      <c r="G149" s="19"/>
      <c r="H149" s="22"/>
      <c r="I149" s="22"/>
      <c r="J149" s="25"/>
      <c r="K149" s="26"/>
      <c r="L149" s="27"/>
      <c r="M149" s="28"/>
      <c r="N149" s="29"/>
      <c r="O149" s="29"/>
      <c r="P149" s="22"/>
      <c r="Q149" s="30"/>
      <c r="R149" s="31"/>
      <c r="S149" s="32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2">
      <c r="A150" s="22"/>
      <c r="B150" s="12"/>
      <c r="C150" s="23"/>
      <c r="D150" s="11"/>
      <c r="E150" s="24"/>
      <c r="F150" s="11"/>
      <c r="G150" s="19"/>
      <c r="H150" s="22"/>
      <c r="I150" s="22"/>
      <c r="J150" s="25"/>
      <c r="K150" s="26"/>
      <c r="L150" s="27"/>
      <c r="M150" s="28"/>
      <c r="N150" s="29"/>
      <c r="O150" s="29"/>
      <c r="P150" s="22"/>
      <c r="Q150" s="30"/>
      <c r="R150" s="31"/>
      <c r="S150" s="32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2">
      <c r="A151" s="35"/>
      <c r="B151" s="11"/>
      <c r="C151" s="37"/>
      <c r="D151" s="11"/>
      <c r="E151" s="11"/>
      <c r="F151" s="35"/>
      <c r="G151" s="35"/>
      <c r="H151" s="35"/>
      <c r="I151" s="35"/>
      <c r="J151" s="22"/>
      <c r="L151" s="33"/>
      <c r="M151" s="33"/>
      <c r="N151" s="33"/>
      <c r="O151" s="33"/>
      <c r="P151" s="29"/>
      <c r="Q151" s="36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2">
      <c r="A152" s="35"/>
      <c r="B152" s="11"/>
      <c r="C152" s="37"/>
      <c r="D152" s="11"/>
      <c r="E152" s="11"/>
      <c r="F152" s="35"/>
      <c r="G152" s="35"/>
      <c r="H152" s="35"/>
      <c r="I152" s="35"/>
      <c r="J152" s="22"/>
      <c r="K152" s="33"/>
      <c r="L152" s="33"/>
      <c r="M152" s="33"/>
      <c r="N152" s="33"/>
      <c r="O152" s="33"/>
      <c r="P152" s="29"/>
      <c r="Q152" s="36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2">
      <c r="A153" s="35"/>
      <c r="B153" s="11"/>
      <c r="C153" s="37"/>
      <c r="D153" s="11"/>
      <c r="E153" s="11"/>
      <c r="F153" s="35"/>
      <c r="G153" s="35"/>
      <c r="H153" s="35"/>
      <c r="I153" s="35"/>
      <c r="J153" s="22"/>
      <c r="K153" s="33"/>
      <c r="L153" s="33"/>
      <c r="M153" s="33"/>
      <c r="N153" s="33"/>
      <c r="O153" s="33"/>
      <c r="P153" s="29"/>
      <c r="Q153" s="36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2">
      <c r="A154" s="35"/>
      <c r="B154" s="11"/>
      <c r="C154" s="37"/>
      <c r="D154" s="11"/>
      <c r="E154" s="11"/>
      <c r="F154" s="35"/>
      <c r="G154" s="35"/>
      <c r="H154" s="35"/>
      <c r="I154" s="35"/>
      <c r="J154" s="22"/>
      <c r="K154" s="33"/>
      <c r="L154" s="33"/>
      <c r="M154" s="33"/>
      <c r="N154" s="33"/>
      <c r="O154" s="33"/>
      <c r="P154" s="29"/>
      <c r="Q154" s="36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2">
      <c r="A155" s="35"/>
      <c r="B155" s="11"/>
      <c r="C155" s="37"/>
      <c r="D155" s="11"/>
      <c r="E155" s="11"/>
      <c r="F155" s="35"/>
      <c r="G155" s="35"/>
      <c r="H155" s="35"/>
      <c r="I155" s="35"/>
      <c r="J155" s="22"/>
      <c r="K155" s="33"/>
      <c r="L155" s="33"/>
      <c r="M155" s="33"/>
      <c r="N155" s="33"/>
      <c r="O155" s="33"/>
      <c r="P155" s="29"/>
      <c r="Q155" s="36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2">
      <c r="A156" s="35"/>
      <c r="B156" s="11"/>
      <c r="C156" s="37"/>
      <c r="D156" s="11"/>
      <c r="E156" s="11"/>
      <c r="F156" s="35"/>
      <c r="G156" s="35"/>
      <c r="H156" s="35"/>
      <c r="I156" s="35"/>
      <c r="J156" s="22"/>
      <c r="K156" s="33"/>
      <c r="L156" s="33"/>
      <c r="M156" s="33"/>
      <c r="N156" s="33"/>
      <c r="O156" s="33"/>
      <c r="P156" s="29"/>
      <c r="Q156" s="36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2">
      <c r="A157" s="35"/>
      <c r="B157" s="11"/>
      <c r="C157" s="37"/>
      <c r="D157" s="11"/>
      <c r="E157" s="11"/>
      <c r="F157" s="35"/>
      <c r="G157" s="35"/>
      <c r="H157" s="35"/>
      <c r="I157" s="35"/>
      <c r="J157" s="22"/>
      <c r="K157" s="33"/>
      <c r="L157" s="33"/>
      <c r="M157" s="33"/>
      <c r="N157" s="33"/>
      <c r="O157" s="33"/>
      <c r="P157" s="29"/>
      <c r="Q157" s="36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2">
      <c r="A158" s="35"/>
      <c r="B158" s="11"/>
      <c r="C158" s="37"/>
      <c r="D158" s="11"/>
      <c r="E158" s="11"/>
      <c r="F158" s="35"/>
      <c r="G158" s="35"/>
      <c r="H158" s="35"/>
      <c r="I158" s="35"/>
      <c r="J158" s="22"/>
      <c r="K158" s="33"/>
      <c r="L158" s="33"/>
      <c r="M158" s="33"/>
      <c r="N158" s="33"/>
      <c r="O158" s="33"/>
      <c r="P158" s="29"/>
      <c r="Q158" s="36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2">
      <c r="A159" s="35"/>
      <c r="B159" s="11"/>
      <c r="C159" s="37"/>
      <c r="D159" s="11"/>
      <c r="E159" s="11"/>
      <c r="F159" s="35"/>
      <c r="G159" s="35"/>
      <c r="H159" s="35"/>
      <c r="I159" s="35"/>
      <c r="J159" s="22"/>
      <c r="K159" s="33"/>
      <c r="L159" s="33"/>
      <c r="M159" s="33"/>
      <c r="N159" s="33"/>
      <c r="O159" s="33"/>
      <c r="P159" s="29"/>
      <c r="Q159" s="36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2">
      <c r="A160" s="35"/>
      <c r="B160" s="11"/>
      <c r="C160" s="37"/>
      <c r="D160" s="11"/>
      <c r="E160" s="11"/>
      <c r="F160" s="35"/>
      <c r="G160" s="35"/>
      <c r="H160" s="35"/>
      <c r="I160" s="35"/>
      <c r="J160" s="22"/>
      <c r="K160" s="33"/>
      <c r="L160" s="33"/>
      <c r="M160" s="33"/>
      <c r="N160" s="33"/>
      <c r="O160" s="33"/>
      <c r="P160" s="29"/>
      <c r="Q160" s="36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2">
      <c r="A161" s="35"/>
      <c r="B161" s="11"/>
      <c r="C161" s="37"/>
      <c r="D161" s="11"/>
      <c r="E161" s="11"/>
      <c r="F161" s="35"/>
      <c r="G161" s="35"/>
      <c r="H161" s="35"/>
      <c r="I161" s="35"/>
      <c r="J161" s="22"/>
      <c r="K161" s="33"/>
      <c r="L161" s="33"/>
      <c r="M161" s="33"/>
      <c r="N161" s="33"/>
      <c r="O161" s="33"/>
      <c r="P161" s="29"/>
      <c r="Q161" s="36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2">
      <c r="A162" s="35"/>
      <c r="B162" s="11"/>
      <c r="C162" s="37"/>
      <c r="D162" s="11"/>
      <c r="E162" s="11"/>
      <c r="F162" s="35"/>
      <c r="G162" s="35"/>
      <c r="H162" s="35"/>
      <c r="I162" s="35"/>
      <c r="J162" s="22"/>
      <c r="K162" s="33"/>
      <c r="L162" s="33"/>
      <c r="M162" s="33"/>
      <c r="N162" s="33"/>
      <c r="O162" s="33"/>
      <c r="P162" s="29"/>
      <c r="Q162" s="36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2">
      <c r="A163" s="35"/>
      <c r="B163" s="11"/>
      <c r="C163" s="37"/>
      <c r="D163" s="11"/>
      <c r="E163" s="11"/>
      <c r="F163" s="35"/>
      <c r="G163" s="35"/>
      <c r="H163" s="35"/>
      <c r="I163" s="35"/>
      <c r="J163" s="22"/>
      <c r="K163" s="33"/>
      <c r="L163" s="33"/>
      <c r="M163" s="33"/>
      <c r="N163" s="33"/>
      <c r="O163" s="33"/>
      <c r="P163" s="29"/>
      <c r="Q163" s="36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2">
      <c r="A164" s="35"/>
      <c r="B164" s="11"/>
      <c r="C164" s="37"/>
      <c r="D164" s="11"/>
      <c r="E164" s="11"/>
      <c r="F164" s="35"/>
      <c r="G164" s="35"/>
      <c r="H164" s="35"/>
      <c r="I164" s="35"/>
      <c r="J164" s="22"/>
      <c r="K164" s="33"/>
      <c r="L164" s="33"/>
      <c r="M164" s="33"/>
      <c r="N164" s="33"/>
      <c r="O164" s="33"/>
      <c r="P164" s="29"/>
      <c r="Q164" s="36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2">
      <c r="A165" s="35"/>
      <c r="B165" s="11"/>
      <c r="C165" s="37"/>
      <c r="D165" s="11"/>
      <c r="E165" s="11"/>
      <c r="F165" s="35"/>
      <c r="G165" s="35"/>
      <c r="H165" s="35"/>
      <c r="I165" s="35"/>
      <c r="J165" s="22"/>
      <c r="K165" s="33"/>
      <c r="L165" s="33"/>
      <c r="M165" s="33"/>
      <c r="N165" s="33"/>
      <c r="O165" s="33"/>
      <c r="P165" s="29"/>
      <c r="Q165" s="36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2">
      <c r="A166" s="35"/>
      <c r="B166" s="11"/>
      <c r="C166" s="37"/>
      <c r="D166" s="11"/>
      <c r="E166" s="11"/>
      <c r="F166" s="35"/>
      <c r="G166" s="35"/>
      <c r="H166" s="35"/>
      <c r="I166" s="35"/>
      <c r="J166" s="22"/>
      <c r="K166" s="33"/>
      <c r="L166" s="33"/>
      <c r="M166" s="33"/>
      <c r="N166" s="33"/>
      <c r="O166" s="33"/>
      <c r="P166" s="29"/>
      <c r="Q166" s="36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2">
      <c r="A167" s="35"/>
      <c r="B167" s="11"/>
      <c r="C167" s="37"/>
      <c r="D167" s="11"/>
      <c r="E167" s="11"/>
      <c r="F167" s="35"/>
      <c r="G167" s="35"/>
      <c r="H167" s="35"/>
      <c r="I167" s="35"/>
      <c r="J167" s="22"/>
      <c r="K167" s="33"/>
      <c r="L167" s="33"/>
      <c r="M167" s="33"/>
      <c r="N167" s="33"/>
      <c r="O167" s="33"/>
      <c r="P167" s="29"/>
      <c r="Q167" s="36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2">
      <c r="A168" s="35"/>
      <c r="B168" s="11"/>
      <c r="C168" s="37"/>
      <c r="D168" s="11"/>
      <c r="E168" s="11"/>
      <c r="F168" s="35"/>
      <c r="G168" s="35"/>
      <c r="H168" s="35"/>
      <c r="I168" s="35"/>
      <c r="J168" s="22"/>
      <c r="K168" s="33"/>
      <c r="L168" s="33"/>
      <c r="M168" s="33"/>
      <c r="N168" s="33"/>
      <c r="O168" s="33"/>
      <c r="P168" s="29"/>
      <c r="Q168" s="36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2">
      <c r="A169" s="35"/>
      <c r="B169" s="11"/>
      <c r="C169" s="37"/>
      <c r="D169" s="11"/>
      <c r="E169" s="11"/>
      <c r="F169" s="35"/>
      <c r="G169" s="35"/>
      <c r="H169" s="35"/>
      <c r="I169" s="35"/>
      <c r="J169" s="22"/>
      <c r="K169" s="33"/>
      <c r="L169" s="33"/>
      <c r="M169" s="33"/>
      <c r="N169" s="33"/>
      <c r="O169" s="33"/>
      <c r="P169" s="29"/>
      <c r="Q169" s="36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2">
      <c r="A170" s="35"/>
      <c r="B170" s="11"/>
      <c r="C170" s="37"/>
      <c r="D170" s="11"/>
      <c r="E170" s="11"/>
      <c r="F170" s="35"/>
      <c r="G170" s="35"/>
      <c r="H170" s="35"/>
      <c r="I170" s="35"/>
      <c r="J170" s="22"/>
      <c r="K170" s="33"/>
      <c r="L170" s="33"/>
      <c r="M170" s="33"/>
      <c r="N170" s="33"/>
      <c r="O170" s="33"/>
      <c r="P170" s="29"/>
      <c r="Q170" s="36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2">
      <c r="A171" s="35"/>
      <c r="B171" s="11"/>
      <c r="C171" s="37"/>
      <c r="D171" s="11"/>
      <c r="E171" s="11"/>
      <c r="F171" s="35"/>
      <c r="G171" s="35"/>
      <c r="H171" s="35"/>
      <c r="I171" s="35"/>
      <c r="J171" s="22"/>
      <c r="K171" s="33"/>
      <c r="L171" s="33"/>
      <c r="M171" s="33"/>
      <c r="N171" s="33"/>
      <c r="O171" s="33"/>
      <c r="P171" s="29"/>
      <c r="Q171" s="36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2">
      <c r="A172" s="35"/>
      <c r="B172" s="11"/>
      <c r="C172" s="37"/>
      <c r="D172" s="11"/>
      <c r="E172" s="11"/>
      <c r="F172" s="35"/>
      <c r="G172" s="35"/>
      <c r="H172" s="35"/>
      <c r="I172" s="35"/>
      <c r="J172" s="22"/>
      <c r="K172" s="33"/>
      <c r="L172" s="33"/>
      <c r="M172" s="33"/>
      <c r="N172" s="33"/>
      <c r="O172" s="33"/>
      <c r="P172" s="29"/>
      <c r="Q172" s="36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2">
      <c r="A173" s="35"/>
      <c r="B173" s="11"/>
      <c r="C173" s="37"/>
      <c r="D173" s="11"/>
      <c r="E173" s="11"/>
      <c r="F173" s="35"/>
      <c r="G173" s="35"/>
      <c r="H173" s="35"/>
      <c r="I173" s="35"/>
      <c r="J173" s="22"/>
      <c r="K173" s="33"/>
      <c r="L173" s="33"/>
      <c r="M173" s="33"/>
      <c r="N173" s="33"/>
      <c r="O173" s="33"/>
      <c r="P173" s="29"/>
      <c r="Q173" s="36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2">
      <c r="A174" s="35"/>
      <c r="B174" s="11"/>
      <c r="C174" s="37"/>
      <c r="D174" s="11"/>
      <c r="E174" s="11"/>
      <c r="F174" s="35"/>
      <c r="G174" s="35"/>
      <c r="H174" s="35"/>
      <c r="I174" s="35"/>
      <c r="J174" s="22"/>
      <c r="K174" s="33"/>
      <c r="L174" s="33"/>
      <c r="M174" s="33"/>
      <c r="N174" s="33"/>
      <c r="O174" s="33"/>
      <c r="P174" s="29"/>
      <c r="Q174" s="36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2">
      <c r="A175" s="35"/>
      <c r="B175" s="11"/>
      <c r="C175" s="37"/>
      <c r="D175" s="11"/>
      <c r="E175" s="11"/>
      <c r="F175" s="35"/>
      <c r="G175" s="35"/>
      <c r="H175" s="35"/>
      <c r="I175" s="35"/>
      <c r="J175" s="22"/>
      <c r="K175" s="33"/>
      <c r="L175" s="33"/>
      <c r="M175" s="33"/>
      <c r="N175" s="33"/>
      <c r="O175" s="33"/>
      <c r="P175" s="29"/>
      <c r="Q175" s="36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2">
      <c r="A176" s="35"/>
      <c r="B176" s="11"/>
      <c r="C176" s="37"/>
      <c r="D176" s="11"/>
      <c r="E176" s="11"/>
      <c r="F176" s="35"/>
      <c r="G176" s="35"/>
      <c r="H176" s="35"/>
      <c r="I176" s="35"/>
      <c r="J176" s="22"/>
      <c r="K176" s="33"/>
      <c r="L176" s="33"/>
      <c r="M176" s="33"/>
      <c r="N176" s="33"/>
      <c r="O176" s="33"/>
      <c r="P176" s="29"/>
      <c r="Q176" s="36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2">
      <c r="A177" s="35"/>
      <c r="B177" s="11"/>
      <c r="C177" s="37"/>
      <c r="D177" s="11"/>
      <c r="E177" s="11"/>
      <c r="F177" s="35"/>
      <c r="G177" s="35"/>
      <c r="H177" s="35"/>
      <c r="I177" s="35"/>
      <c r="J177" s="22"/>
      <c r="K177" s="33"/>
      <c r="L177" s="33"/>
      <c r="M177" s="33"/>
      <c r="N177" s="33"/>
      <c r="O177" s="33"/>
      <c r="P177" s="29"/>
      <c r="Q177" s="36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2">
      <c r="A178" s="35"/>
      <c r="B178" s="11"/>
      <c r="C178" s="37"/>
      <c r="D178" s="11"/>
      <c r="E178" s="11"/>
      <c r="F178" s="35"/>
      <c r="G178" s="35"/>
      <c r="H178" s="35"/>
      <c r="I178" s="35"/>
      <c r="J178" s="22"/>
      <c r="K178" s="33"/>
      <c r="L178" s="33"/>
      <c r="M178" s="33"/>
      <c r="N178" s="33"/>
      <c r="O178" s="33"/>
      <c r="P178" s="29"/>
      <c r="Q178" s="36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2">
      <c r="A179" s="35"/>
      <c r="B179" s="11"/>
      <c r="C179" s="37"/>
      <c r="D179" s="11"/>
      <c r="E179" s="11"/>
      <c r="F179" s="35"/>
      <c r="G179" s="35"/>
      <c r="H179" s="35"/>
      <c r="I179" s="35"/>
      <c r="J179" s="22"/>
      <c r="K179" s="33"/>
      <c r="L179" s="33"/>
      <c r="M179" s="33"/>
      <c r="N179" s="33"/>
      <c r="O179" s="33"/>
      <c r="P179" s="29"/>
      <c r="Q179" s="36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2">
      <c r="A180" s="35"/>
      <c r="B180" s="11"/>
      <c r="C180" s="37"/>
      <c r="D180" s="11"/>
      <c r="E180" s="11"/>
      <c r="F180" s="35"/>
      <c r="G180" s="35"/>
      <c r="H180" s="35"/>
      <c r="I180" s="35"/>
      <c r="J180" s="22"/>
      <c r="K180" s="33"/>
      <c r="L180" s="33"/>
      <c r="M180" s="33"/>
      <c r="N180" s="33"/>
      <c r="O180" s="33"/>
      <c r="P180" s="29"/>
      <c r="Q180" s="36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2">
      <c r="A181" s="35"/>
      <c r="B181" s="11"/>
      <c r="C181" s="37"/>
      <c r="D181" s="11"/>
      <c r="E181" s="11"/>
      <c r="F181" s="35"/>
      <c r="G181" s="35"/>
      <c r="H181" s="35"/>
      <c r="I181" s="35"/>
      <c r="J181" s="22"/>
      <c r="K181" s="33"/>
      <c r="L181" s="33"/>
      <c r="M181" s="33"/>
      <c r="N181" s="33"/>
      <c r="O181" s="33"/>
      <c r="P181" s="29"/>
      <c r="Q181" s="36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2">
      <c r="A182" s="35"/>
      <c r="B182" s="11"/>
      <c r="C182" s="37"/>
      <c r="D182" s="11"/>
      <c r="E182" s="11"/>
      <c r="F182" s="35"/>
      <c r="G182" s="35"/>
      <c r="H182" s="35"/>
      <c r="I182" s="35"/>
      <c r="J182" s="22"/>
      <c r="K182" s="33"/>
      <c r="L182" s="33"/>
      <c r="M182" s="33"/>
      <c r="N182" s="33"/>
      <c r="O182" s="33"/>
      <c r="P182" s="29"/>
      <c r="Q182" s="36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2">
      <c r="A183" s="35"/>
      <c r="B183" s="11"/>
      <c r="C183" s="37"/>
      <c r="D183" s="11"/>
      <c r="E183" s="11"/>
      <c r="F183" s="35"/>
      <c r="G183" s="35"/>
      <c r="H183" s="35"/>
      <c r="I183" s="35"/>
      <c r="J183" s="22"/>
      <c r="K183" s="33"/>
      <c r="L183" s="33"/>
      <c r="M183" s="33"/>
      <c r="N183" s="33"/>
      <c r="O183" s="33"/>
      <c r="P183" s="29"/>
      <c r="Q183" s="36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2">
      <c r="A184" s="35"/>
      <c r="B184" s="11"/>
      <c r="C184" s="37"/>
      <c r="D184" s="11"/>
      <c r="E184" s="11"/>
      <c r="F184" s="35"/>
      <c r="G184" s="35"/>
      <c r="H184" s="35"/>
      <c r="I184" s="35"/>
      <c r="J184" s="22"/>
      <c r="K184" s="33"/>
      <c r="L184" s="33"/>
      <c r="M184" s="33"/>
      <c r="N184" s="33"/>
      <c r="O184" s="33"/>
      <c r="P184" s="29"/>
      <c r="Q184" s="36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1:50" ht="12">
      <c r="A185" s="35"/>
      <c r="B185" s="11"/>
      <c r="C185" s="37"/>
      <c r="D185" s="11"/>
      <c r="E185" s="11"/>
      <c r="F185" s="35"/>
      <c r="G185" s="35"/>
      <c r="H185" s="35"/>
      <c r="I185" s="35"/>
      <c r="J185" s="22"/>
      <c r="K185" s="33"/>
      <c r="L185" s="33"/>
      <c r="M185" s="33"/>
      <c r="N185" s="33"/>
      <c r="O185" s="33"/>
      <c r="P185" s="29"/>
      <c r="Q185" s="36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1:50" ht="12">
      <c r="A186" s="35"/>
      <c r="B186" s="11"/>
      <c r="C186" s="37"/>
      <c r="D186" s="11"/>
      <c r="E186" s="11"/>
      <c r="F186" s="35"/>
      <c r="G186" s="35"/>
      <c r="H186" s="35"/>
      <c r="I186" s="35"/>
      <c r="J186" s="22"/>
      <c r="K186" s="33"/>
      <c r="L186" s="33"/>
      <c r="M186" s="33"/>
      <c r="N186" s="33"/>
      <c r="O186" s="33"/>
      <c r="P186" s="29"/>
      <c r="Q186" s="36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1:50" ht="12">
      <c r="A187" s="35"/>
      <c r="B187" s="11"/>
      <c r="C187" s="37"/>
      <c r="D187" s="11"/>
      <c r="E187" s="11"/>
      <c r="F187" s="35"/>
      <c r="G187" s="35"/>
      <c r="H187" s="35"/>
      <c r="I187" s="35"/>
      <c r="J187" s="22"/>
      <c r="K187" s="33"/>
      <c r="L187" s="33"/>
      <c r="M187" s="33"/>
      <c r="N187" s="33"/>
      <c r="O187" s="33"/>
      <c r="P187" s="29"/>
      <c r="Q187" s="36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1:50" ht="12">
      <c r="A188" s="35"/>
      <c r="B188" s="11"/>
      <c r="C188" s="37"/>
      <c r="D188" s="11"/>
      <c r="E188" s="11"/>
      <c r="F188" s="35"/>
      <c r="G188" s="35"/>
      <c r="H188" s="35"/>
      <c r="I188" s="35"/>
      <c r="J188" s="22"/>
      <c r="K188" s="33"/>
      <c r="L188" s="33"/>
      <c r="M188" s="33"/>
      <c r="N188" s="33"/>
      <c r="O188" s="33"/>
      <c r="P188" s="29"/>
      <c r="Q188" s="36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1:50" ht="12">
      <c r="A189" s="35"/>
      <c r="B189" s="11"/>
      <c r="C189" s="37"/>
      <c r="D189" s="11"/>
      <c r="E189" s="11"/>
      <c r="F189" s="35"/>
      <c r="G189" s="35"/>
      <c r="H189" s="35"/>
      <c r="I189" s="35"/>
      <c r="J189" s="22"/>
      <c r="K189" s="33"/>
      <c r="L189" s="33"/>
      <c r="M189" s="33"/>
      <c r="N189" s="33"/>
      <c r="O189" s="33"/>
      <c r="P189" s="29"/>
      <c r="Q189" s="36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1:50" ht="12">
      <c r="A190" s="35"/>
      <c r="B190" s="11"/>
      <c r="C190" s="37"/>
      <c r="D190" s="11"/>
      <c r="E190" s="11"/>
      <c r="F190" s="35"/>
      <c r="G190" s="35"/>
      <c r="H190" s="35"/>
      <c r="I190" s="35"/>
      <c r="J190" s="22"/>
      <c r="K190" s="33"/>
      <c r="L190" s="33"/>
      <c r="M190" s="33"/>
      <c r="N190" s="33"/>
      <c r="O190" s="33"/>
      <c r="P190" s="29"/>
      <c r="Q190" s="36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1:50" ht="12">
      <c r="A191" s="35"/>
      <c r="B191" s="11"/>
      <c r="C191" s="37"/>
      <c r="D191" s="11"/>
      <c r="E191" s="11"/>
      <c r="F191" s="35"/>
      <c r="G191" s="35"/>
      <c r="H191" s="35"/>
      <c r="I191" s="35"/>
      <c r="J191" s="22"/>
      <c r="K191" s="33"/>
      <c r="L191" s="33"/>
      <c r="M191" s="33"/>
      <c r="N191" s="33"/>
      <c r="O191" s="33"/>
      <c r="P191" s="29"/>
      <c r="Q191" s="36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1:50" ht="12">
      <c r="A192" s="35"/>
      <c r="B192" s="11"/>
      <c r="C192" s="37"/>
      <c r="D192" s="11"/>
      <c r="E192" s="11"/>
      <c r="F192" s="35"/>
      <c r="G192" s="35"/>
      <c r="H192" s="35"/>
      <c r="I192" s="35"/>
      <c r="J192" s="22"/>
      <c r="K192" s="33"/>
      <c r="L192" s="33"/>
      <c r="M192" s="33"/>
      <c r="N192" s="33"/>
      <c r="O192" s="33"/>
      <c r="P192" s="29"/>
      <c r="Q192" s="36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1:50" ht="12">
      <c r="A193" s="35"/>
      <c r="B193" s="11"/>
      <c r="C193" s="37"/>
      <c r="D193" s="11"/>
      <c r="E193" s="11"/>
      <c r="F193" s="35"/>
      <c r="G193" s="35"/>
      <c r="H193" s="35"/>
      <c r="I193" s="35"/>
      <c r="J193" s="22"/>
      <c r="K193" s="33"/>
      <c r="L193" s="33"/>
      <c r="M193" s="33"/>
      <c r="N193" s="33"/>
      <c r="O193" s="33"/>
      <c r="P193" s="29"/>
      <c r="Q193" s="36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1:50" ht="12">
      <c r="A194" s="35"/>
      <c r="B194" s="11"/>
      <c r="C194" s="37"/>
      <c r="D194" s="11"/>
      <c r="E194" s="11"/>
      <c r="F194" s="35"/>
      <c r="G194" s="35"/>
      <c r="H194" s="35"/>
      <c r="I194" s="35"/>
      <c r="J194" s="22"/>
      <c r="K194" s="33"/>
      <c r="L194" s="33"/>
      <c r="M194" s="33"/>
      <c r="N194" s="33"/>
      <c r="O194" s="33"/>
      <c r="P194" s="29"/>
      <c r="Q194" s="36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1:50" ht="12">
      <c r="A195" s="35"/>
      <c r="B195" s="11"/>
      <c r="C195" s="37"/>
      <c r="D195" s="11"/>
      <c r="E195" s="11"/>
      <c r="F195" s="35"/>
      <c r="G195" s="35"/>
      <c r="H195" s="35"/>
      <c r="I195" s="35"/>
      <c r="J195" s="22"/>
      <c r="K195" s="33"/>
      <c r="L195" s="33"/>
      <c r="M195" s="33"/>
      <c r="N195" s="33"/>
      <c r="O195" s="33"/>
      <c r="P195" s="29"/>
      <c r="Q195" s="36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1:50" ht="12">
      <c r="A196" s="35"/>
      <c r="B196" s="11"/>
      <c r="C196" s="37"/>
      <c r="D196" s="11"/>
      <c r="E196" s="11"/>
      <c r="F196" s="35"/>
      <c r="G196" s="35"/>
      <c r="H196" s="35"/>
      <c r="I196" s="35"/>
      <c r="J196" s="22"/>
      <c r="K196" s="33"/>
      <c r="L196" s="33"/>
      <c r="M196" s="33"/>
      <c r="N196" s="33"/>
      <c r="O196" s="33"/>
      <c r="P196" s="29"/>
      <c r="Q196" s="36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spans="1:50" ht="12">
      <c r="A197" s="35"/>
      <c r="B197" s="11"/>
      <c r="C197" s="37"/>
      <c r="D197" s="11"/>
      <c r="E197" s="11"/>
      <c r="F197" s="35"/>
      <c r="G197" s="35"/>
      <c r="H197" s="35"/>
      <c r="I197" s="35"/>
      <c r="J197" s="22"/>
      <c r="K197" s="33"/>
      <c r="L197" s="33"/>
      <c r="M197" s="33"/>
      <c r="N197" s="33"/>
      <c r="O197" s="33"/>
      <c r="P197" s="29"/>
      <c r="Q197" s="36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</row>
    <row r="198" spans="1:50" ht="12">
      <c r="A198" s="35"/>
      <c r="B198" s="11"/>
      <c r="C198" s="37"/>
      <c r="D198" s="11"/>
      <c r="E198" s="11"/>
      <c r="F198" s="35"/>
      <c r="G198" s="35"/>
      <c r="H198" s="35"/>
      <c r="I198" s="35"/>
      <c r="J198" s="22"/>
      <c r="K198" s="33"/>
      <c r="L198" s="33"/>
      <c r="M198" s="33"/>
      <c r="N198" s="33"/>
      <c r="O198" s="33"/>
      <c r="P198" s="29"/>
      <c r="Q198" s="36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</row>
    <row r="199" spans="1:50" ht="12">
      <c r="A199" s="35"/>
      <c r="B199" s="11"/>
      <c r="C199" s="37"/>
      <c r="D199" s="11"/>
      <c r="E199" s="11"/>
      <c r="F199" s="35"/>
      <c r="G199" s="35"/>
      <c r="H199" s="35"/>
      <c r="I199" s="35"/>
      <c r="J199" s="22"/>
      <c r="K199" s="33"/>
      <c r="L199" s="33"/>
      <c r="M199" s="33"/>
      <c r="N199" s="33"/>
      <c r="O199" s="33"/>
      <c r="P199" s="29"/>
      <c r="Q199" s="36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</row>
    <row r="200" spans="1:50" ht="12">
      <c r="A200" s="35"/>
      <c r="B200" s="11"/>
      <c r="C200" s="37"/>
      <c r="D200" s="11"/>
      <c r="E200" s="11"/>
      <c r="F200" s="35"/>
      <c r="G200" s="35"/>
      <c r="H200" s="35"/>
      <c r="I200" s="35"/>
      <c r="J200" s="22"/>
      <c r="K200" s="33"/>
      <c r="L200" s="33"/>
      <c r="M200" s="33"/>
      <c r="N200" s="33"/>
      <c r="O200" s="33"/>
      <c r="P200" s="29"/>
      <c r="Q200" s="36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</row>
    <row r="201" spans="1:50" ht="12">
      <c r="A201" s="35"/>
      <c r="B201" s="11"/>
      <c r="C201" s="37"/>
      <c r="D201" s="11"/>
      <c r="E201" s="11"/>
      <c r="F201" s="35"/>
      <c r="G201" s="35"/>
      <c r="H201" s="35"/>
      <c r="I201" s="35"/>
      <c r="J201" s="22"/>
      <c r="K201" s="33"/>
      <c r="L201" s="33"/>
      <c r="M201" s="33"/>
      <c r="N201" s="33"/>
      <c r="O201" s="33"/>
      <c r="P201" s="29"/>
      <c r="Q201" s="36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</row>
    <row r="202" spans="1:50" ht="12">
      <c r="A202" s="35"/>
      <c r="B202" s="11"/>
      <c r="C202" s="37"/>
      <c r="D202" s="11"/>
      <c r="E202" s="11"/>
      <c r="F202" s="35"/>
      <c r="G202" s="35"/>
      <c r="H202" s="35"/>
      <c r="I202" s="35"/>
      <c r="J202" s="22"/>
      <c r="K202" s="33"/>
      <c r="L202" s="33"/>
      <c r="M202" s="33"/>
      <c r="N202" s="33"/>
      <c r="O202" s="33"/>
      <c r="P202" s="29"/>
      <c r="Q202" s="36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</row>
    <row r="203" spans="1:50" ht="12">
      <c r="A203" s="35"/>
      <c r="B203" s="11"/>
      <c r="C203" s="37"/>
      <c r="D203" s="11"/>
      <c r="E203" s="11"/>
      <c r="F203" s="35"/>
      <c r="G203" s="35"/>
      <c r="H203" s="35"/>
      <c r="I203" s="35"/>
      <c r="J203" s="22"/>
      <c r="K203" s="33"/>
      <c r="L203" s="33"/>
      <c r="M203" s="33"/>
      <c r="N203" s="33"/>
      <c r="O203" s="33"/>
      <c r="P203" s="29"/>
      <c r="Q203" s="36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</row>
    <row r="204" spans="1:50" ht="12">
      <c r="A204" s="35"/>
      <c r="B204" s="11"/>
      <c r="C204" s="37"/>
      <c r="D204" s="11"/>
      <c r="E204" s="11"/>
      <c r="F204" s="35"/>
      <c r="G204" s="35"/>
      <c r="H204" s="35"/>
      <c r="I204" s="35"/>
      <c r="J204" s="22"/>
      <c r="K204" s="33"/>
      <c r="L204" s="33"/>
      <c r="M204" s="33"/>
      <c r="N204" s="33"/>
      <c r="O204" s="33"/>
      <c r="P204" s="29"/>
      <c r="Q204" s="36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</row>
    <row r="205" spans="1:50" ht="12">
      <c r="A205" s="35"/>
      <c r="B205" s="11"/>
      <c r="C205" s="37"/>
      <c r="D205" s="11"/>
      <c r="E205" s="11"/>
      <c r="F205" s="35"/>
      <c r="G205" s="35"/>
      <c r="H205" s="35"/>
      <c r="I205" s="35"/>
      <c r="J205" s="22"/>
      <c r="K205" s="33"/>
      <c r="L205" s="33"/>
      <c r="M205" s="33"/>
      <c r="N205" s="33"/>
      <c r="O205" s="33"/>
      <c r="P205" s="29"/>
      <c r="Q205" s="36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</row>
    <row r="206" spans="1:50" ht="12">
      <c r="A206" s="35"/>
      <c r="B206" s="11"/>
      <c r="C206" s="37"/>
      <c r="D206" s="11"/>
      <c r="E206" s="11"/>
      <c r="F206" s="35"/>
      <c r="G206" s="35"/>
      <c r="H206" s="35"/>
      <c r="I206" s="35"/>
      <c r="J206" s="22"/>
      <c r="K206" s="33"/>
      <c r="L206" s="33"/>
      <c r="M206" s="33"/>
      <c r="N206" s="33"/>
      <c r="O206" s="33"/>
      <c r="P206" s="29"/>
      <c r="Q206" s="36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</row>
    <row r="207" spans="1:50" ht="12">
      <c r="A207" s="35"/>
      <c r="B207" s="11"/>
      <c r="C207" s="37"/>
      <c r="D207" s="11"/>
      <c r="E207" s="11"/>
      <c r="F207" s="35"/>
      <c r="G207" s="35"/>
      <c r="H207" s="35"/>
      <c r="I207" s="35"/>
      <c r="J207" s="22"/>
      <c r="K207" s="33"/>
      <c r="L207" s="33"/>
      <c r="M207" s="33"/>
      <c r="N207" s="33"/>
      <c r="O207" s="33"/>
      <c r="P207" s="29"/>
      <c r="Q207" s="36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</row>
    <row r="208" spans="1:50" ht="12">
      <c r="A208" s="35"/>
      <c r="B208" s="11"/>
      <c r="C208" s="37"/>
      <c r="D208" s="11"/>
      <c r="E208" s="11"/>
      <c r="F208" s="35"/>
      <c r="G208" s="35"/>
      <c r="H208" s="35"/>
      <c r="I208" s="35"/>
      <c r="J208" s="22"/>
      <c r="K208" s="33"/>
      <c r="L208" s="33"/>
      <c r="M208" s="33"/>
      <c r="N208" s="33"/>
      <c r="O208" s="33"/>
      <c r="P208" s="29"/>
      <c r="Q208" s="36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</row>
    <row r="209" spans="1:50" ht="12">
      <c r="A209" s="35"/>
      <c r="B209" s="11"/>
      <c r="C209" s="37"/>
      <c r="D209" s="11"/>
      <c r="E209" s="11"/>
      <c r="F209" s="35"/>
      <c r="G209" s="35"/>
      <c r="H209" s="35"/>
      <c r="I209" s="35"/>
      <c r="J209" s="22"/>
      <c r="K209" s="33"/>
      <c r="L209" s="33"/>
      <c r="M209" s="33"/>
      <c r="N209" s="33"/>
      <c r="O209" s="33"/>
      <c r="P209" s="29"/>
      <c r="Q209" s="36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spans="1:50" ht="12">
      <c r="A210" s="35"/>
      <c r="B210" s="11"/>
      <c r="C210" s="37"/>
      <c r="D210" s="11"/>
      <c r="E210" s="11"/>
      <c r="F210" s="35"/>
      <c r="G210" s="35"/>
      <c r="H210" s="35"/>
      <c r="I210" s="35"/>
      <c r="J210" s="22"/>
      <c r="K210" s="33"/>
      <c r="L210" s="33"/>
      <c r="M210" s="33"/>
      <c r="N210" s="33"/>
      <c r="O210" s="33"/>
      <c r="P210" s="29"/>
      <c r="Q210" s="36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</row>
    <row r="211" spans="1:50" ht="12">
      <c r="A211" s="35"/>
      <c r="B211" s="11"/>
      <c r="C211" s="37"/>
      <c r="D211" s="11"/>
      <c r="E211" s="11"/>
      <c r="F211" s="35"/>
      <c r="G211" s="35"/>
      <c r="H211" s="35"/>
      <c r="I211" s="35"/>
      <c r="J211" s="22"/>
      <c r="K211" s="33"/>
      <c r="L211" s="33"/>
      <c r="M211" s="33"/>
      <c r="N211" s="33"/>
      <c r="O211" s="33"/>
      <c r="P211" s="29"/>
      <c r="Q211" s="36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</row>
    <row r="212" spans="1:50" ht="12">
      <c r="A212" s="35"/>
      <c r="B212" s="11"/>
      <c r="C212" s="37"/>
      <c r="D212" s="11"/>
      <c r="E212" s="11"/>
      <c r="F212" s="35"/>
      <c r="G212" s="35"/>
      <c r="H212" s="35"/>
      <c r="I212" s="35"/>
      <c r="J212" s="22"/>
      <c r="K212" s="33"/>
      <c r="L212" s="33"/>
      <c r="M212" s="33"/>
      <c r="N212" s="33"/>
      <c r="O212" s="33"/>
      <c r="P212" s="29"/>
      <c r="Q212" s="36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</row>
    <row r="213" spans="1:50" ht="12">
      <c r="A213" s="35"/>
      <c r="B213" s="11"/>
      <c r="C213" s="37"/>
      <c r="D213" s="11"/>
      <c r="E213" s="11"/>
      <c r="F213" s="35"/>
      <c r="G213" s="35"/>
      <c r="H213" s="35"/>
      <c r="I213" s="35"/>
      <c r="J213" s="22"/>
      <c r="K213" s="33"/>
      <c r="L213" s="33"/>
      <c r="M213" s="33"/>
      <c r="N213" s="33"/>
      <c r="O213" s="33"/>
      <c r="P213" s="29"/>
      <c r="Q213" s="36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</row>
    <row r="214" spans="1:50" ht="12">
      <c r="A214" s="35"/>
      <c r="B214" s="11"/>
      <c r="C214" s="37"/>
      <c r="D214" s="11"/>
      <c r="E214" s="11"/>
      <c r="F214" s="35"/>
      <c r="G214" s="35"/>
      <c r="H214" s="35"/>
      <c r="I214" s="35"/>
      <c r="J214" s="22"/>
      <c r="K214" s="33"/>
      <c r="L214" s="33"/>
      <c r="M214" s="33"/>
      <c r="N214" s="33"/>
      <c r="O214" s="33"/>
      <c r="P214" s="29"/>
      <c r="Q214" s="36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</row>
    <row r="215" spans="1:50" ht="12">
      <c r="A215" s="35"/>
      <c r="B215" s="11"/>
      <c r="C215" s="37"/>
      <c r="D215" s="11"/>
      <c r="E215" s="11"/>
      <c r="F215" s="35"/>
      <c r="G215" s="35"/>
      <c r="H215" s="35"/>
      <c r="I215" s="35"/>
      <c r="J215" s="22"/>
      <c r="K215" s="33"/>
      <c r="L215" s="33"/>
      <c r="M215" s="33"/>
      <c r="N215" s="33"/>
      <c r="O215" s="33"/>
      <c r="P215" s="29"/>
      <c r="Q215" s="36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</row>
    <row r="216" spans="1:50" ht="12">
      <c r="A216" s="35"/>
      <c r="B216" s="11"/>
      <c r="C216" s="37"/>
      <c r="D216" s="11"/>
      <c r="E216" s="11"/>
      <c r="F216" s="35"/>
      <c r="G216" s="35"/>
      <c r="H216" s="35"/>
      <c r="I216" s="35"/>
      <c r="J216" s="22"/>
      <c r="K216" s="33"/>
      <c r="L216" s="33"/>
      <c r="M216" s="33"/>
      <c r="N216" s="33"/>
      <c r="O216" s="33"/>
      <c r="P216" s="29"/>
      <c r="Q216" s="36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</row>
    <row r="217" spans="1:50" ht="12">
      <c r="A217" s="35"/>
      <c r="B217" s="11"/>
      <c r="C217" s="37"/>
      <c r="D217" s="11"/>
      <c r="E217" s="11"/>
      <c r="F217" s="35"/>
      <c r="G217" s="35"/>
      <c r="H217" s="35"/>
      <c r="I217" s="35"/>
      <c r="J217" s="22"/>
      <c r="K217" s="33"/>
      <c r="L217" s="33"/>
      <c r="M217" s="33"/>
      <c r="N217" s="33"/>
      <c r="O217" s="33"/>
      <c r="P217" s="29"/>
      <c r="Q217" s="36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</row>
    <row r="218" spans="1:50" ht="12">
      <c r="A218" s="35"/>
      <c r="B218" s="11"/>
      <c r="C218" s="37"/>
      <c r="D218" s="11"/>
      <c r="E218" s="11"/>
      <c r="F218" s="35"/>
      <c r="G218" s="35"/>
      <c r="H218" s="35"/>
      <c r="I218" s="35"/>
      <c r="J218" s="22"/>
      <c r="K218" s="33"/>
      <c r="L218" s="33"/>
      <c r="M218" s="33"/>
      <c r="N218" s="33"/>
      <c r="O218" s="33"/>
      <c r="P218" s="29"/>
      <c r="Q218" s="36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</row>
    <row r="219" spans="1:50" ht="12">
      <c r="A219" s="35"/>
      <c r="B219" s="11"/>
      <c r="C219" s="37"/>
      <c r="D219" s="11"/>
      <c r="E219" s="11"/>
      <c r="F219" s="35"/>
      <c r="G219" s="35"/>
      <c r="H219" s="35"/>
      <c r="I219" s="35"/>
      <c r="J219" s="22"/>
      <c r="K219" s="33"/>
      <c r="L219" s="33"/>
      <c r="M219" s="33"/>
      <c r="N219" s="33"/>
      <c r="O219" s="33"/>
      <c r="P219" s="29"/>
      <c r="Q219" s="36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</row>
    <row r="220" spans="1:50" ht="12">
      <c r="A220" s="35"/>
      <c r="B220" s="11"/>
      <c r="C220" s="37"/>
      <c r="D220" s="11"/>
      <c r="E220" s="11"/>
      <c r="F220" s="35"/>
      <c r="G220" s="35"/>
      <c r="H220" s="35"/>
      <c r="I220" s="35"/>
      <c r="J220" s="22"/>
      <c r="K220" s="33"/>
      <c r="L220" s="33"/>
      <c r="M220" s="33"/>
      <c r="N220" s="33"/>
      <c r="O220" s="33"/>
      <c r="P220" s="29"/>
      <c r="Q220" s="36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</row>
    <row r="221" spans="1:50" ht="12">
      <c r="A221" s="35"/>
      <c r="B221" s="11"/>
      <c r="C221" s="37"/>
      <c r="D221" s="11"/>
      <c r="E221" s="11"/>
      <c r="F221" s="35"/>
      <c r="G221" s="35"/>
      <c r="H221" s="35"/>
      <c r="I221" s="35"/>
      <c r="J221" s="22"/>
      <c r="K221" s="33"/>
      <c r="L221" s="33"/>
      <c r="M221" s="33"/>
      <c r="N221" s="33"/>
      <c r="O221" s="33"/>
      <c r="P221" s="29"/>
      <c r="Q221" s="36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</row>
    <row r="222" spans="1:50" ht="12">
      <c r="A222" s="35"/>
      <c r="B222" s="11"/>
      <c r="C222" s="37"/>
      <c r="D222" s="11"/>
      <c r="E222" s="11"/>
      <c r="F222" s="35"/>
      <c r="G222" s="35"/>
      <c r="H222" s="35"/>
      <c r="I222" s="35"/>
      <c r="J222" s="22"/>
      <c r="K222" s="33"/>
      <c r="L222" s="33"/>
      <c r="M222" s="33"/>
      <c r="N222" s="33"/>
      <c r="O222" s="33"/>
      <c r="P222" s="29"/>
      <c r="Q222" s="36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</row>
    <row r="223" spans="1:50" ht="12">
      <c r="A223" s="35"/>
      <c r="B223" s="11"/>
      <c r="C223" s="37"/>
      <c r="D223" s="11"/>
      <c r="E223" s="11"/>
      <c r="F223" s="35"/>
      <c r="G223" s="35"/>
      <c r="H223" s="35"/>
      <c r="I223" s="35"/>
      <c r="J223" s="22"/>
      <c r="K223" s="33"/>
      <c r="L223" s="33"/>
      <c r="M223" s="33"/>
      <c r="N223" s="33"/>
      <c r="O223" s="33"/>
      <c r="P223" s="29"/>
      <c r="Q223" s="36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</row>
    <row r="224" spans="1:50" ht="12">
      <c r="A224" s="35"/>
      <c r="B224" s="11"/>
      <c r="C224" s="37"/>
      <c r="D224" s="11"/>
      <c r="E224" s="11"/>
      <c r="F224" s="35"/>
      <c r="G224" s="35"/>
      <c r="H224" s="35"/>
      <c r="I224" s="35"/>
      <c r="J224" s="22"/>
      <c r="K224" s="33"/>
      <c r="L224" s="33"/>
      <c r="M224" s="33"/>
      <c r="N224" s="33"/>
      <c r="O224" s="33"/>
      <c r="P224" s="29"/>
      <c r="Q224" s="36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</row>
    <row r="225" spans="1:50" ht="12">
      <c r="A225" s="35"/>
      <c r="B225" s="11"/>
      <c r="C225" s="37"/>
      <c r="D225" s="11"/>
      <c r="E225" s="11"/>
      <c r="F225" s="35"/>
      <c r="G225" s="35"/>
      <c r="H225" s="35"/>
      <c r="I225" s="35"/>
      <c r="J225" s="22"/>
      <c r="K225" s="33"/>
      <c r="L225" s="33"/>
      <c r="M225" s="33"/>
      <c r="N225" s="33"/>
      <c r="O225" s="33"/>
      <c r="P225" s="29"/>
      <c r="Q225" s="36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</row>
    <row r="226" spans="1:50" ht="12">
      <c r="A226" s="35"/>
      <c r="B226" s="11"/>
      <c r="C226" s="37"/>
      <c r="D226" s="11"/>
      <c r="E226" s="11"/>
      <c r="F226" s="35"/>
      <c r="G226" s="35"/>
      <c r="H226" s="35"/>
      <c r="I226" s="35"/>
      <c r="J226" s="22"/>
      <c r="K226" s="33"/>
      <c r="L226" s="33"/>
      <c r="M226" s="33"/>
      <c r="N226" s="33"/>
      <c r="O226" s="33"/>
      <c r="P226" s="29"/>
      <c r="Q226" s="36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</row>
    <row r="227" spans="1:50" ht="12">
      <c r="A227" s="35"/>
      <c r="B227" s="11"/>
      <c r="C227" s="37"/>
      <c r="D227" s="11"/>
      <c r="E227" s="11"/>
      <c r="F227" s="35"/>
      <c r="G227" s="35"/>
      <c r="H227" s="35"/>
      <c r="I227" s="35"/>
      <c r="J227" s="22"/>
      <c r="K227" s="33"/>
      <c r="L227" s="33"/>
      <c r="M227" s="33"/>
      <c r="N227" s="33"/>
      <c r="O227" s="33"/>
      <c r="P227" s="29"/>
      <c r="Q227" s="36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</row>
    <row r="228" spans="1:50" ht="12">
      <c r="A228" s="35"/>
      <c r="B228" s="11"/>
      <c r="C228" s="37"/>
      <c r="D228" s="11"/>
      <c r="E228" s="11"/>
      <c r="F228" s="35"/>
      <c r="G228" s="35"/>
      <c r="H228" s="35"/>
      <c r="I228" s="35"/>
      <c r="J228" s="22"/>
      <c r="K228" s="33"/>
      <c r="L228" s="33"/>
      <c r="M228" s="33"/>
      <c r="N228" s="33"/>
      <c r="O228" s="33"/>
      <c r="P228" s="29"/>
      <c r="Q228" s="36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</row>
    <row r="229" spans="1:50" ht="12">
      <c r="A229" s="35"/>
      <c r="B229" s="11"/>
      <c r="C229" s="37"/>
      <c r="D229" s="11"/>
      <c r="E229" s="11"/>
      <c r="F229" s="35"/>
      <c r="G229" s="35"/>
      <c r="H229" s="35"/>
      <c r="I229" s="35"/>
      <c r="J229" s="22"/>
      <c r="K229" s="33"/>
      <c r="L229" s="33"/>
      <c r="M229" s="33"/>
      <c r="N229" s="33"/>
      <c r="O229" s="33"/>
      <c r="P229" s="29"/>
      <c r="Q229" s="36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</row>
    <row r="230" spans="1:50" ht="12">
      <c r="A230" s="35"/>
      <c r="B230" s="11"/>
      <c r="C230" s="37"/>
      <c r="D230" s="11"/>
      <c r="E230" s="11"/>
      <c r="F230" s="35"/>
      <c r="G230" s="35"/>
      <c r="H230" s="35"/>
      <c r="I230" s="35"/>
      <c r="J230" s="22"/>
      <c r="K230" s="33"/>
      <c r="L230" s="33"/>
      <c r="M230" s="33"/>
      <c r="N230" s="33"/>
      <c r="O230" s="33"/>
      <c r="P230" s="29"/>
      <c r="Q230" s="36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</row>
    <row r="231" spans="1:50" ht="12">
      <c r="A231" s="35"/>
      <c r="B231" s="11"/>
      <c r="C231" s="37"/>
      <c r="D231" s="11"/>
      <c r="E231" s="11"/>
      <c r="F231" s="35"/>
      <c r="G231" s="35"/>
      <c r="H231" s="35"/>
      <c r="I231" s="35"/>
      <c r="J231" s="22"/>
      <c r="K231" s="33"/>
      <c r="L231" s="33"/>
      <c r="M231" s="33"/>
      <c r="N231" s="33"/>
      <c r="O231" s="33"/>
      <c r="P231" s="29"/>
      <c r="Q231" s="36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</row>
    <row r="232" spans="1:50" ht="12">
      <c r="A232" s="35"/>
      <c r="B232" s="11"/>
      <c r="C232" s="37"/>
      <c r="D232" s="11"/>
      <c r="E232" s="11"/>
      <c r="F232" s="35"/>
      <c r="G232" s="35"/>
      <c r="H232" s="35"/>
      <c r="I232" s="35"/>
      <c r="J232" s="22"/>
      <c r="K232" s="33"/>
      <c r="L232" s="33"/>
      <c r="M232" s="33"/>
      <c r="N232" s="33"/>
      <c r="O232" s="33"/>
      <c r="P232" s="29"/>
      <c r="Q232" s="36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</row>
    <row r="233" spans="1:50" ht="12">
      <c r="A233" s="35"/>
      <c r="B233" s="11"/>
      <c r="C233" s="37"/>
      <c r="D233" s="11"/>
      <c r="E233" s="11"/>
      <c r="F233" s="35"/>
      <c r="G233" s="35"/>
      <c r="H233" s="35"/>
      <c r="I233" s="35"/>
      <c r="J233" s="22"/>
      <c r="K233" s="33"/>
      <c r="L233" s="33"/>
      <c r="M233" s="33"/>
      <c r="N233" s="33"/>
      <c r="O233" s="33"/>
      <c r="P233" s="29"/>
      <c r="Q233" s="36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</row>
    <row r="234" spans="1:50" ht="12">
      <c r="A234" s="35"/>
      <c r="B234" s="11"/>
      <c r="C234" s="37"/>
      <c r="D234" s="11"/>
      <c r="E234" s="11"/>
      <c r="F234" s="35"/>
      <c r="G234" s="35"/>
      <c r="H234" s="35"/>
      <c r="I234" s="35"/>
      <c r="J234" s="22"/>
      <c r="K234" s="33"/>
      <c r="L234" s="33"/>
      <c r="M234" s="33"/>
      <c r="N234" s="33"/>
      <c r="O234" s="33"/>
      <c r="P234" s="29"/>
      <c r="Q234" s="36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</row>
    <row r="235" spans="1:50" ht="12">
      <c r="A235" s="35"/>
      <c r="B235" s="11"/>
      <c r="C235" s="37"/>
      <c r="D235" s="11"/>
      <c r="E235" s="11"/>
      <c r="F235" s="35"/>
      <c r="G235" s="35"/>
      <c r="H235" s="35"/>
      <c r="I235" s="35"/>
      <c r="J235" s="22"/>
      <c r="K235" s="33"/>
      <c r="L235" s="33"/>
      <c r="M235" s="33"/>
      <c r="N235" s="33"/>
      <c r="O235" s="33"/>
      <c r="P235" s="29"/>
      <c r="Q235" s="36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</row>
    <row r="236" spans="1:50" ht="12">
      <c r="A236" s="35"/>
      <c r="B236" s="11"/>
      <c r="C236" s="37"/>
      <c r="D236" s="11"/>
      <c r="E236" s="11"/>
      <c r="F236" s="35"/>
      <c r="G236" s="35"/>
      <c r="H236" s="35"/>
      <c r="I236" s="35"/>
      <c r="J236" s="22"/>
      <c r="K236" s="33"/>
      <c r="L236" s="33"/>
      <c r="M236" s="33"/>
      <c r="N236" s="33"/>
      <c r="O236" s="33"/>
      <c r="P236" s="29"/>
      <c r="Q236" s="36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</row>
    <row r="237" spans="1:50" ht="12">
      <c r="A237" s="35"/>
      <c r="B237" s="11"/>
      <c r="C237" s="37"/>
      <c r="D237" s="11"/>
      <c r="E237" s="11"/>
      <c r="F237" s="35"/>
      <c r="G237" s="35"/>
      <c r="H237" s="35"/>
      <c r="I237" s="35"/>
      <c r="J237" s="22"/>
      <c r="K237" s="33"/>
      <c r="L237" s="33"/>
      <c r="M237" s="33"/>
      <c r="N237" s="33"/>
      <c r="O237" s="33"/>
      <c r="P237" s="29"/>
      <c r="Q237" s="36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</row>
    <row r="238" spans="1:50" ht="12">
      <c r="A238" s="35"/>
      <c r="B238" s="11"/>
      <c r="C238" s="37"/>
      <c r="D238" s="11"/>
      <c r="E238" s="11"/>
      <c r="F238" s="35"/>
      <c r="G238" s="35"/>
      <c r="H238" s="35"/>
      <c r="I238" s="35"/>
      <c r="J238" s="22"/>
      <c r="K238" s="33"/>
      <c r="L238" s="33"/>
      <c r="M238" s="33"/>
      <c r="N238" s="33"/>
      <c r="O238" s="33"/>
      <c r="P238" s="29"/>
      <c r="Q238" s="36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</row>
    <row r="239" spans="1:50" ht="12">
      <c r="A239" s="35"/>
      <c r="B239" s="11"/>
      <c r="C239" s="37"/>
      <c r="D239" s="11"/>
      <c r="E239" s="11"/>
      <c r="F239" s="35"/>
      <c r="G239" s="35"/>
      <c r="H239" s="35"/>
      <c r="I239" s="35"/>
      <c r="J239" s="22"/>
      <c r="K239" s="33"/>
      <c r="L239" s="33"/>
      <c r="M239" s="33"/>
      <c r="N239" s="33"/>
      <c r="O239" s="33"/>
      <c r="P239" s="29"/>
      <c r="Q239" s="36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</row>
    <row r="240" spans="1:50" ht="12">
      <c r="A240" s="35"/>
      <c r="B240" s="11"/>
      <c r="C240" s="37"/>
      <c r="D240" s="11"/>
      <c r="E240" s="11"/>
      <c r="F240" s="35"/>
      <c r="G240" s="35"/>
      <c r="H240" s="35"/>
      <c r="I240" s="35"/>
      <c r="J240" s="22"/>
      <c r="K240" s="33"/>
      <c r="L240" s="33"/>
      <c r="M240" s="33"/>
      <c r="N240" s="33"/>
      <c r="O240" s="33"/>
      <c r="P240" s="29"/>
      <c r="Q240" s="36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</row>
    <row r="241" spans="1:50" ht="12">
      <c r="A241" s="35"/>
      <c r="B241" s="11"/>
      <c r="C241" s="37"/>
      <c r="D241" s="11"/>
      <c r="E241" s="11"/>
      <c r="F241" s="35"/>
      <c r="G241" s="35"/>
      <c r="H241" s="35"/>
      <c r="I241" s="35"/>
      <c r="J241" s="22"/>
      <c r="K241" s="33"/>
      <c r="L241" s="33"/>
      <c r="M241" s="33"/>
      <c r="N241" s="33"/>
      <c r="O241" s="33"/>
      <c r="P241" s="29"/>
      <c r="Q241" s="36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</row>
    <row r="242" spans="1:50" ht="12">
      <c r="A242" s="35"/>
      <c r="B242" s="11"/>
      <c r="C242" s="37"/>
      <c r="D242" s="11"/>
      <c r="E242" s="11"/>
      <c r="F242" s="35"/>
      <c r="G242" s="35"/>
      <c r="H242" s="35"/>
      <c r="I242" s="35"/>
      <c r="J242" s="22"/>
      <c r="K242" s="33"/>
      <c r="L242" s="33"/>
      <c r="M242" s="33"/>
      <c r="N242" s="33"/>
      <c r="O242" s="33"/>
      <c r="P242" s="29"/>
      <c r="Q242" s="36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</row>
    <row r="243" spans="1:50" ht="12">
      <c r="A243" s="35"/>
      <c r="B243" s="11"/>
      <c r="C243" s="37"/>
      <c r="D243" s="11"/>
      <c r="E243" s="11"/>
      <c r="F243" s="35"/>
      <c r="G243" s="35"/>
      <c r="H243" s="35"/>
      <c r="I243" s="35"/>
      <c r="J243" s="22"/>
      <c r="K243" s="33"/>
      <c r="L243" s="33"/>
      <c r="M243" s="33"/>
      <c r="N243" s="33"/>
      <c r="O243" s="33"/>
      <c r="P243" s="29"/>
      <c r="Q243" s="36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</row>
    <row r="244" spans="1:50" ht="12">
      <c r="A244" s="35"/>
      <c r="B244" s="11"/>
      <c r="C244" s="37"/>
      <c r="D244" s="11"/>
      <c r="E244" s="11"/>
      <c r="F244" s="35"/>
      <c r="G244" s="35"/>
      <c r="H244" s="35"/>
      <c r="I244" s="35"/>
      <c r="J244" s="22"/>
      <c r="K244" s="33"/>
      <c r="L244" s="33"/>
      <c r="M244" s="33"/>
      <c r="N244" s="33"/>
      <c r="O244" s="33"/>
      <c r="P244" s="29"/>
      <c r="Q244" s="36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</row>
    <row r="245" spans="1:50" ht="12">
      <c r="A245" s="35"/>
      <c r="B245" s="11"/>
      <c r="C245" s="37"/>
      <c r="D245" s="11"/>
      <c r="E245" s="11"/>
      <c r="F245" s="35"/>
      <c r="G245" s="35"/>
      <c r="H245" s="35"/>
      <c r="I245" s="35"/>
      <c r="J245" s="22"/>
      <c r="K245" s="33"/>
      <c r="L245" s="33"/>
      <c r="M245" s="33"/>
      <c r="N245" s="33"/>
      <c r="O245" s="33"/>
      <c r="P245" s="29"/>
      <c r="Q245" s="36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</row>
    <row r="246" spans="1:50" ht="12">
      <c r="A246" s="35"/>
      <c r="B246" s="11"/>
      <c r="C246" s="37"/>
      <c r="D246" s="11"/>
      <c r="E246" s="11"/>
      <c r="F246" s="35"/>
      <c r="G246" s="35"/>
      <c r="H246" s="35"/>
      <c r="I246" s="35"/>
      <c r="J246" s="22"/>
      <c r="K246" s="33"/>
      <c r="L246" s="33"/>
      <c r="M246" s="33"/>
      <c r="N246" s="33"/>
      <c r="O246" s="33"/>
      <c r="P246" s="29"/>
      <c r="Q246" s="36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</row>
    <row r="247" spans="1:50" ht="12">
      <c r="A247" s="35"/>
      <c r="B247" s="11"/>
      <c r="C247" s="37"/>
      <c r="D247" s="11"/>
      <c r="E247" s="11"/>
      <c r="F247" s="35"/>
      <c r="G247" s="35"/>
      <c r="H247" s="35"/>
      <c r="I247" s="35"/>
      <c r="J247" s="22"/>
      <c r="K247" s="33"/>
      <c r="L247" s="33"/>
      <c r="M247" s="33"/>
      <c r="N247" s="33"/>
      <c r="O247" s="33"/>
      <c r="P247" s="29"/>
      <c r="Q247" s="36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</row>
    <row r="248" spans="1:50" ht="12">
      <c r="A248" s="35"/>
      <c r="B248" s="11"/>
      <c r="C248" s="37"/>
      <c r="D248" s="11"/>
      <c r="E248" s="11"/>
      <c r="F248" s="35"/>
      <c r="G248" s="35"/>
      <c r="H248" s="35"/>
      <c r="I248" s="35"/>
      <c r="J248" s="22"/>
      <c r="K248" s="33"/>
      <c r="L248" s="33"/>
      <c r="M248" s="33"/>
      <c r="N248" s="33"/>
      <c r="O248" s="33"/>
      <c r="P248" s="29"/>
      <c r="Q248" s="36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</row>
    <row r="249" spans="1:50" ht="12">
      <c r="A249" s="35"/>
      <c r="B249" s="11"/>
      <c r="C249" s="37"/>
      <c r="D249" s="11"/>
      <c r="E249" s="11"/>
      <c r="F249" s="35"/>
      <c r="G249" s="35"/>
      <c r="H249" s="35"/>
      <c r="I249" s="35"/>
      <c r="J249" s="22"/>
      <c r="K249" s="33"/>
      <c r="L249" s="33"/>
      <c r="M249" s="33"/>
      <c r="N249" s="33"/>
      <c r="O249" s="33"/>
      <c r="P249" s="29"/>
      <c r="Q249" s="36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</row>
    <row r="250" spans="1:50" ht="12">
      <c r="A250" s="35"/>
      <c r="B250" s="11"/>
      <c r="C250" s="37"/>
      <c r="D250" s="11"/>
      <c r="E250" s="11"/>
      <c r="F250" s="35"/>
      <c r="G250" s="35"/>
      <c r="H250" s="35"/>
      <c r="I250" s="35"/>
      <c r="J250" s="22"/>
      <c r="K250" s="33"/>
      <c r="L250" s="33"/>
      <c r="M250" s="33"/>
      <c r="N250" s="33"/>
      <c r="O250" s="33"/>
      <c r="P250" s="29"/>
      <c r="Q250" s="36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</row>
    <row r="251" spans="1:50" ht="12">
      <c r="A251" s="35"/>
      <c r="B251" s="11"/>
      <c r="C251" s="37"/>
      <c r="D251" s="11"/>
      <c r="E251" s="11"/>
      <c r="F251" s="35"/>
      <c r="G251" s="35"/>
      <c r="H251" s="35"/>
      <c r="I251" s="35"/>
      <c r="J251" s="22"/>
      <c r="K251" s="33"/>
      <c r="L251" s="33"/>
      <c r="M251" s="33"/>
      <c r="N251" s="33"/>
      <c r="O251" s="33"/>
      <c r="P251" s="29"/>
      <c r="Q251" s="36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</row>
    <row r="252" spans="1:50" ht="12">
      <c r="A252" s="35"/>
      <c r="B252" s="11"/>
      <c r="C252" s="37"/>
      <c r="D252" s="11"/>
      <c r="E252" s="11"/>
      <c r="F252" s="35"/>
      <c r="G252" s="35"/>
      <c r="H252" s="35"/>
      <c r="I252" s="35"/>
      <c r="J252" s="22"/>
      <c r="K252" s="33"/>
      <c r="L252" s="33"/>
      <c r="M252" s="33"/>
      <c r="N252" s="33"/>
      <c r="O252" s="33"/>
      <c r="P252" s="29"/>
      <c r="Q252" s="36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</row>
    <row r="253" spans="1:50" ht="12">
      <c r="A253" s="35"/>
      <c r="B253" s="11"/>
      <c r="C253" s="37"/>
      <c r="D253" s="11"/>
      <c r="E253" s="11"/>
      <c r="F253" s="35"/>
      <c r="G253" s="35"/>
      <c r="H253" s="35"/>
      <c r="I253" s="35"/>
      <c r="J253" s="22"/>
      <c r="K253" s="33"/>
      <c r="L253" s="33"/>
      <c r="M253" s="33"/>
      <c r="N253" s="33"/>
      <c r="O253" s="33"/>
      <c r="P253" s="29"/>
      <c r="Q253" s="36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</row>
    <row r="254" spans="1:50" ht="12">
      <c r="A254" s="35"/>
      <c r="B254" s="11"/>
      <c r="C254" s="37"/>
      <c r="D254" s="11"/>
      <c r="E254" s="11"/>
      <c r="F254" s="35"/>
      <c r="G254" s="35"/>
      <c r="H254" s="35"/>
      <c r="I254" s="35"/>
      <c r="J254" s="22"/>
      <c r="K254" s="33"/>
      <c r="L254" s="33"/>
      <c r="M254" s="33"/>
      <c r="N254" s="33"/>
      <c r="O254" s="33"/>
      <c r="P254" s="29"/>
      <c r="Q254" s="36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</row>
    <row r="255" spans="1:50" ht="12">
      <c r="A255" s="35"/>
      <c r="B255" s="11"/>
      <c r="C255" s="37"/>
      <c r="D255" s="11"/>
      <c r="E255" s="11"/>
      <c r="F255" s="35"/>
      <c r="G255" s="35"/>
      <c r="H255" s="35"/>
      <c r="I255" s="35"/>
      <c r="J255" s="22"/>
      <c r="K255" s="33"/>
      <c r="L255" s="33"/>
      <c r="M255" s="33"/>
      <c r="N255" s="33"/>
      <c r="O255" s="33"/>
      <c r="P255" s="29"/>
      <c r="Q255" s="36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</row>
    <row r="256" spans="1:50" ht="12">
      <c r="A256" s="35"/>
      <c r="B256" s="11"/>
      <c r="C256" s="37"/>
      <c r="D256" s="11"/>
      <c r="E256" s="11"/>
      <c r="F256" s="35"/>
      <c r="G256" s="35"/>
      <c r="H256" s="35"/>
      <c r="I256" s="35"/>
      <c r="J256" s="22"/>
      <c r="K256" s="33"/>
      <c r="L256" s="33"/>
      <c r="M256" s="33"/>
      <c r="N256" s="33"/>
      <c r="O256" s="33"/>
      <c r="P256" s="29"/>
      <c r="Q256" s="36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</row>
    <row r="257" spans="1:50" ht="12">
      <c r="A257" s="35"/>
      <c r="B257" s="11"/>
      <c r="C257" s="37"/>
      <c r="D257" s="11"/>
      <c r="E257" s="11"/>
      <c r="F257" s="35"/>
      <c r="G257" s="35"/>
      <c r="H257" s="35"/>
      <c r="I257" s="35"/>
      <c r="J257" s="22"/>
      <c r="K257" s="33"/>
      <c r="L257" s="33"/>
      <c r="M257" s="33"/>
      <c r="N257" s="33"/>
      <c r="O257" s="33"/>
      <c r="P257" s="29"/>
      <c r="Q257" s="36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</row>
    <row r="258" spans="1:50" ht="12">
      <c r="A258" s="35"/>
      <c r="B258" s="11"/>
      <c r="C258" s="37"/>
      <c r="D258" s="11"/>
      <c r="E258" s="11"/>
      <c r="F258" s="35"/>
      <c r="G258" s="35"/>
      <c r="H258" s="35"/>
      <c r="I258" s="35"/>
      <c r="J258" s="22"/>
      <c r="K258" s="33"/>
      <c r="L258" s="33"/>
      <c r="M258" s="33"/>
      <c r="N258" s="33"/>
      <c r="O258" s="33"/>
      <c r="P258" s="29"/>
      <c r="Q258" s="36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</row>
    <row r="259" spans="1:50" ht="12">
      <c r="A259" s="35"/>
      <c r="B259" s="11"/>
      <c r="C259" s="37"/>
      <c r="D259" s="11"/>
      <c r="E259" s="11"/>
      <c r="F259" s="35"/>
      <c r="G259" s="35"/>
      <c r="H259" s="35"/>
      <c r="I259" s="35"/>
      <c r="J259" s="22"/>
      <c r="K259" s="33"/>
      <c r="L259" s="33"/>
      <c r="M259" s="33"/>
      <c r="N259" s="33"/>
      <c r="O259" s="33"/>
      <c r="P259" s="29"/>
      <c r="Q259" s="36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</row>
    <row r="260" spans="1:50" ht="12">
      <c r="A260" s="35"/>
      <c r="B260" s="11"/>
      <c r="C260" s="37"/>
      <c r="D260" s="11"/>
      <c r="E260" s="11"/>
      <c r="F260" s="35"/>
      <c r="G260" s="35"/>
      <c r="H260" s="35"/>
      <c r="I260" s="35"/>
      <c r="J260" s="22"/>
      <c r="K260" s="33"/>
      <c r="L260" s="33"/>
      <c r="M260" s="33"/>
      <c r="N260" s="33"/>
      <c r="O260" s="33"/>
      <c r="P260" s="29"/>
      <c r="Q260" s="36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</row>
    <row r="261" spans="1:50" ht="12">
      <c r="A261" s="35"/>
      <c r="B261" s="11"/>
      <c r="C261" s="37"/>
      <c r="D261" s="11"/>
      <c r="E261" s="11"/>
      <c r="F261" s="35"/>
      <c r="G261" s="35"/>
      <c r="H261" s="35"/>
      <c r="I261" s="35"/>
      <c r="J261" s="22"/>
      <c r="K261" s="33"/>
      <c r="L261" s="33"/>
      <c r="M261" s="33"/>
      <c r="N261" s="33"/>
      <c r="O261" s="33"/>
      <c r="P261" s="29"/>
      <c r="Q261" s="36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</row>
    <row r="262" spans="1:50" ht="12">
      <c r="A262" s="35"/>
      <c r="B262" s="11"/>
      <c r="C262" s="37"/>
      <c r="D262" s="11"/>
      <c r="E262" s="11"/>
      <c r="F262" s="35"/>
      <c r="G262" s="35"/>
      <c r="H262" s="35"/>
      <c r="I262" s="35"/>
      <c r="J262" s="22"/>
      <c r="K262" s="33"/>
      <c r="L262" s="33"/>
      <c r="M262" s="33"/>
      <c r="N262" s="33"/>
      <c r="O262" s="33"/>
      <c r="P262" s="29"/>
      <c r="Q262" s="36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</row>
    <row r="263" spans="1:50" ht="12">
      <c r="A263" s="35"/>
      <c r="B263" s="11"/>
      <c r="C263" s="37"/>
      <c r="D263" s="11"/>
      <c r="E263" s="11"/>
      <c r="F263" s="35"/>
      <c r="G263" s="35"/>
      <c r="H263" s="35"/>
      <c r="I263" s="35"/>
      <c r="J263" s="22"/>
      <c r="K263" s="33"/>
      <c r="L263" s="33"/>
      <c r="M263" s="33"/>
      <c r="N263" s="33"/>
      <c r="O263" s="33"/>
      <c r="P263" s="29"/>
      <c r="Q263" s="36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</row>
    <row r="264" spans="1:50" ht="12">
      <c r="A264" s="35"/>
      <c r="B264" s="11"/>
      <c r="C264" s="37"/>
      <c r="D264" s="11"/>
      <c r="E264" s="11"/>
      <c r="F264" s="35"/>
      <c r="G264" s="35"/>
      <c r="H264" s="35"/>
      <c r="I264" s="35"/>
      <c r="J264" s="22"/>
      <c r="K264" s="33"/>
      <c r="L264" s="33"/>
      <c r="M264" s="33"/>
      <c r="N264" s="33"/>
      <c r="O264" s="33"/>
      <c r="P264" s="29"/>
      <c r="Q264" s="36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</row>
    <row r="265" spans="1:50" ht="12">
      <c r="A265" s="35"/>
      <c r="B265" s="11"/>
      <c r="C265" s="37"/>
      <c r="D265" s="11"/>
      <c r="E265" s="11"/>
      <c r="F265" s="35"/>
      <c r="G265" s="35"/>
      <c r="H265" s="35"/>
      <c r="I265" s="35"/>
      <c r="J265" s="22"/>
      <c r="K265" s="33"/>
      <c r="L265" s="33"/>
      <c r="M265" s="33"/>
      <c r="N265" s="33"/>
      <c r="O265" s="33"/>
      <c r="P265" s="29"/>
      <c r="Q265" s="36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</row>
    <row r="266" spans="1:50" ht="12">
      <c r="A266" s="35"/>
      <c r="B266" s="11"/>
      <c r="C266" s="37"/>
      <c r="D266" s="11"/>
      <c r="E266" s="11"/>
      <c r="F266" s="35"/>
      <c r="G266" s="35"/>
      <c r="H266" s="35"/>
      <c r="I266" s="35"/>
      <c r="J266" s="22"/>
      <c r="K266" s="33"/>
      <c r="L266" s="33"/>
      <c r="M266" s="33"/>
      <c r="N266" s="33"/>
      <c r="O266" s="33"/>
      <c r="P266" s="29"/>
      <c r="Q266" s="36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</row>
    <row r="267" spans="1:50" ht="12">
      <c r="A267" s="35"/>
      <c r="B267" s="11"/>
      <c r="C267" s="37"/>
      <c r="D267" s="11"/>
      <c r="E267" s="11"/>
      <c r="F267" s="35"/>
      <c r="G267" s="35"/>
      <c r="H267" s="35"/>
      <c r="I267" s="35"/>
      <c r="J267" s="22"/>
      <c r="K267" s="33"/>
      <c r="L267" s="33"/>
      <c r="M267" s="33"/>
      <c r="N267" s="33"/>
      <c r="O267" s="33"/>
      <c r="P267" s="29"/>
      <c r="Q267" s="36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</row>
    <row r="268" spans="1:50" ht="12">
      <c r="A268" s="35"/>
      <c r="B268" s="11"/>
      <c r="C268" s="37"/>
      <c r="D268" s="11"/>
      <c r="E268" s="11"/>
      <c r="F268" s="35"/>
      <c r="G268" s="35"/>
      <c r="H268" s="35"/>
      <c r="I268" s="35"/>
      <c r="J268" s="22"/>
      <c r="K268" s="33"/>
      <c r="L268" s="33"/>
      <c r="M268" s="33"/>
      <c r="N268" s="33"/>
      <c r="O268" s="33"/>
      <c r="P268" s="29"/>
      <c r="Q268" s="36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</row>
    <row r="269" spans="1:50" ht="12">
      <c r="A269" s="35"/>
      <c r="B269" s="11"/>
      <c r="C269" s="37"/>
      <c r="D269" s="11"/>
      <c r="E269" s="11"/>
      <c r="F269" s="35"/>
      <c r="G269" s="35"/>
      <c r="H269" s="35"/>
      <c r="I269" s="35"/>
      <c r="J269" s="22"/>
      <c r="K269" s="33"/>
      <c r="L269" s="33"/>
      <c r="M269" s="33"/>
      <c r="N269" s="33"/>
      <c r="O269" s="33"/>
      <c r="P269" s="29"/>
      <c r="Q269" s="36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</row>
    <row r="270" spans="1:50" ht="12">
      <c r="A270" s="35"/>
      <c r="B270" s="11"/>
      <c r="C270" s="37"/>
      <c r="D270" s="11"/>
      <c r="E270" s="11"/>
      <c r="F270" s="35"/>
      <c r="G270" s="35"/>
      <c r="H270" s="35"/>
      <c r="I270" s="35"/>
      <c r="J270" s="22"/>
      <c r="K270" s="33"/>
      <c r="L270" s="33"/>
      <c r="M270" s="33"/>
      <c r="N270" s="33"/>
      <c r="O270" s="33"/>
      <c r="P270" s="29"/>
      <c r="Q270" s="36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</row>
    <row r="271" spans="1:50" ht="12">
      <c r="A271" s="38"/>
      <c r="B271" s="39"/>
      <c r="C271" s="40"/>
      <c r="D271" s="39"/>
      <c r="E271" s="39"/>
      <c r="F271" s="38"/>
      <c r="G271" s="38"/>
      <c r="H271" s="38"/>
      <c r="I271" s="38"/>
      <c r="J271" s="41"/>
      <c r="K271" s="42"/>
      <c r="L271" s="43"/>
      <c r="M271" s="33"/>
      <c r="N271" s="33"/>
      <c r="O271" s="33"/>
      <c r="P271" s="29"/>
      <c r="Q271" s="36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</row>
    <row r="272" spans="12:50" ht="12">
      <c r="L272" s="48"/>
      <c r="M272" s="33"/>
      <c r="N272" s="33"/>
      <c r="O272" s="33"/>
      <c r="P272" s="29"/>
      <c r="Q272" s="36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</row>
    <row r="273" spans="12:50" ht="12">
      <c r="L273" s="48"/>
      <c r="M273" s="33"/>
      <c r="N273" s="33"/>
      <c r="O273" s="33"/>
      <c r="P273" s="29"/>
      <c r="Q273" s="36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</row>
    <row r="274" spans="12:50" ht="12">
      <c r="L274" s="48"/>
      <c r="M274" s="33"/>
      <c r="N274" s="33"/>
      <c r="O274" s="33"/>
      <c r="P274" s="29"/>
      <c r="Q274" s="36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</row>
    <row r="275" spans="12:50" ht="12">
      <c r="L275" s="48"/>
      <c r="M275" s="33"/>
      <c r="N275" s="33"/>
      <c r="O275" s="33"/>
      <c r="P275" s="29"/>
      <c r="Q275" s="36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</row>
    <row r="276" spans="12:50" ht="12">
      <c r="L276" s="48"/>
      <c r="M276" s="33"/>
      <c r="N276" s="33"/>
      <c r="O276" s="33"/>
      <c r="P276" s="29"/>
      <c r="Q276" s="36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</row>
    <row r="277" spans="12:50" ht="12">
      <c r="L277" s="48"/>
      <c r="M277" s="33"/>
      <c r="N277" s="33"/>
      <c r="O277" s="33"/>
      <c r="P277" s="29"/>
      <c r="Q277" s="36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</row>
    <row r="278" spans="12:50" ht="12">
      <c r="L278" s="48"/>
      <c r="M278" s="33"/>
      <c r="N278" s="33"/>
      <c r="O278" s="33"/>
      <c r="P278" s="29"/>
      <c r="Q278" s="36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</row>
    <row r="279" spans="12:50" ht="12">
      <c r="L279" s="48"/>
      <c r="M279" s="33"/>
      <c r="N279" s="33"/>
      <c r="O279" s="33"/>
      <c r="P279" s="29"/>
      <c r="Q279" s="36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</row>
    <row r="280" spans="1:50" ht="12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L280" s="48"/>
      <c r="M280" s="33"/>
      <c r="N280" s="33"/>
      <c r="O280" s="33"/>
      <c r="P280" s="29"/>
      <c r="Q280" s="36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</row>
    <row r="281" spans="1:50" ht="1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L281" s="48"/>
      <c r="M281" s="33"/>
      <c r="N281" s="33"/>
      <c r="O281" s="33"/>
      <c r="P281" s="29"/>
      <c r="Q281" s="36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</row>
    <row r="282" spans="1:50" ht="12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L282" s="48"/>
      <c r="M282" s="33"/>
      <c r="N282" s="33"/>
      <c r="O282" s="33"/>
      <c r="P282" s="29"/>
      <c r="Q282" s="36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</row>
    <row r="283" spans="1:50" ht="12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L283" s="48"/>
      <c r="M283" s="33"/>
      <c r="N283" s="33"/>
      <c r="O283" s="33"/>
      <c r="P283" s="29"/>
      <c r="Q283" s="36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</row>
    <row r="284" spans="1:50" ht="12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L284" s="48"/>
      <c r="M284" s="33"/>
      <c r="N284" s="33"/>
      <c r="O284" s="33"/>
      <c r="P284" s="29"/>
      <c r="Q284" s="36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</row>
    <row r="285" spans="1:50" ht="12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L285" s="48"/>
      <c r="M285" s="33"/>
      <c r="N285" s="33"/>
      <c r="O285" s="33"/>
      <c r="P285" s="29"/>
      <c r="Q285" s="36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</row>
    <row r="286" spans="1:50" ht="12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L286" s="48"/>
      <c r="M286" s="33"/>
      <c r="N286" s="33"/>
      <c r="O286" s="33"/>
      <c r="P286" s="29"/>
      <c r="Q286" s="36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</row>
    <row r="287" spans="1:50" ht="12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L287" s="48"/>
      <c r="M287" s="33"/>
      <c r="N287" s="33"/>
      <c r="O287" s="33"/>
      <c r="P287" s="29"/>
      <c r="Q287" s="36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</row>
    <row r="288" spans="1:50" ht="12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L288" s="48"/>
      <c r="M288" s="33"/>
      <c r="N288" s="33"/>
      <c r="O288" s="33"/>
      <c r="P288" s="29"/>
      <c r="Q288" s="36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</row>
    <row r="289" spans="1:50" ht="12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L289" s="48"/>
      <c r="M289" s="33"/>
      <c r="N289" s="33"/>
      <c r="O289" s="33"/>
      <c r="P289" s="29"/>
      <c r="Q289" s="36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</row>
    <row r="290" spans="1:50" ht="12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L290" s="48"/>
      <c r="M290" s="33"/>
      <c r="N290" s="33"/>
      <c r="O290" s="33"/>
      <c r="P290" s="29"/>
      <c r="Q290" s="36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</row>
    <row r="291" spans="1:50" ht="12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L291" s="48"/>
      <c r="M291" s="33"/>
      <c r="N291" s="33"/>
      <c r="O291" s="33"/>
      <c r="P291" s="29"/>
      <c r="Q291" s="36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</row>
    <row r="292" spans="1:50" ht="12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L292" s="48"/>
      <c r="M292" s="33"/>
      <c r="N292" s="33"/>
      <c r="O292" s="33"/>
      <c r="P292" s="29"/>
      <c r="Q292" s="36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</row>
    <row r="293" spans="1:50" ht="12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L293" s="48"/>
      <c r="M293" s="33"/>
      <c r="N293" s="33"/>
      <c r="O293" s="33"/>
      <c r="P293" s="29"/>
      <c r="Q293" s="36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</row>
    <row r="294" spans="1:50" ht="12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L294" s="48"/>
      <c r="M294" s="33"/>
      <c r="N294" s="33"/>
      <c r="O294" s="33"/>
      <c r="P294" s="29"/>
      <c r="Q294" s="36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</row>
    <row r="295" spans="1:50" ht="12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L295" s="48"/>
      <c r="M295" s="33"/>
      <c r="N295" s="33"/>
      <c r="O295" s="33"/>
      <c r="P295" s="29"/>
      <c r="Q295" s="36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</row>
    <row r="296" spans="1:50" ht="12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L296" s="48"/>
      <c r="M296" s="33"/>
      <c r="N296" s="33"/>
      <c r="O296" s="33"/>
      <c r="P296" s="29"/>
      <c r="Q296" s="36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</row>
    <row r="297" spans="1:50" ht="12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L297" s="48"/>
      <c r="M297" s="33"/>
      <c r="N297" s="33"/>
      <c r="O297" s="33"/>
      <c r="P297" s="29"/>
      <c r="Q297" s="36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</row>
    <row r="298" spans="1:50" ht="12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L298" s="48"/>
      <c r="M298" s="33"/>
      <c r="N298" s="33"/>
      <c r="O298" s="33"/>
      <c r="P298" s="29"/>
      <c r="Q298" s="36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</row>
    <row r="299" spans="1:50" ht="12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L299" s="48"/>
      <c r="M299" s="33"/>
      <c r="N299" s="33"/>
      <c r="O299" s="33"/>
      <c r="P299" s="29"/>
      <c r="Q299" s="36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</row>
    <row r="300" spans="1:50" ht="12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L300" s="48"/>
      <c r="M300" s="33"/>
      <c r="N300" s="33"/>
      <c r="O300" s="33"/>
      <c r="P300" s="29"/>
      <c r="Q300" s="36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</row>
    <row r="301" spans="1:50" ht="12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L301" s="48"/>
      <c r="M301" s="33"/>
      <c r="N301" s="33"/>
      <c r="O301" s="33"/>
      <c r="P301" s="29"/>
      <c r="Q301" s="36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</row>
    <row r="302" spans="1:50" ht="12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L302" s="48"/>
      <c r="M302" s="33"/>
      <c r="N302" s="33"/>
      <c r="O302" s="33"/>
      <c r="P302" s="29"/>
      <c r="Q302" s="36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</row>
    <row r="303" spans="1:50" ht="12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L303" s="48"/>
      <c r="M303" s="33"/>
      <c r="N303" s="33"/>
      <c r="O303" s="33"/>
      <c r="P303" s="29"/>
      <c r="Q303" s="36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</row>
    <row r="304" spans="1:50" ht="12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L304" s="48"/>
      <c r="M304" s="33"/>
      <c r="N304" s="33"/>
      <c r="O304" s="33"/>
      <c r="P304" s="29"/>
      <c r="Q304" s="36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</row>
    <row r="305" spans="1:50" ht="12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L305" s="48"/>
      <c r="M305" s="33"/>
      <c r="N305" s="33"/>
      <c r="O305" s="33"/>
      <c r="P305" s="29"/>
      <c r="Q305" s="36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</row>
    <row r="306" spans="1:50" ht="12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L306" s="48"/>
      <c r="M306" s="33"/>
      <c r="N306" s="33"/>
      <c r="O306" s="33"/>
      <c r="P306" s="29"/>
      <c r="Q306" s="36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</row>
    <row r="307" spans="1:50" ht="12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L307" s="48"/>
      <c r="M307" s="33"/>
      <c r="N307" s="33"/>
      <c r="O307" s="33"/>
      <c r="P307" s="29"/>
      <c r="Q307" s="36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</row>
    <row r="308" spans="1:50" ht="12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L308" s="48"/>
      <c r="M308" s="33"/>
      <c r="N308" s="33"/>
      <c r="O308" s="33"/>
      <c r="P308" s="29"/>
      <c r="Q308" s="36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</row>
    <row r="309" spans="1:50" ht="12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L309" s="48"/>
      <c r="M309" s="33"/>
      <c r="N309" s="33"/>
      <c r="O309" s="33"/>
      <c r="P309" s="29"/>
      <c r="Q309" s="36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</row>
    <row r="310" spans="1:50" ht="12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L310" s="48"/>
      <c r="M310" s="33"/>
      <c r="N310" s="33"/>
      <c r="O310" s="33"/>
      <c r="P310" s="29"/>
      <c r="Q310" s="36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</row>
    <row r="311" spans="1:50" ht="12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L311" s="48"/>
      <c r="M311" s="33"/>
      <c r="N311" s="33"/>
      <c r="O311" s="33"/>
      <c r="P311" s="29"/>
      <c r="Q311" s="36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</row>
    <row r="312" spans="1:50" ht="12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L312" s="48"/>
      <c r="M312" s="33"/>
      <c r="N312" s="33"/>
      <c r="O312" s="33"/>
      <c r="P312" s="29"/>
      <c r="Q312" s="36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</row>
    <row r="313" spans="1:50" ht="12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L313" s="48"/>
      <c r="M313" s="33"/>
      <c r="N313" s="33"/>
      <c r="O313" s="33"/>
      <c r="P313" s="29"/>
      <c r="Q313" s="36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</row>
    <row r="314" spans="1:50" ht="12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L314" s="48"/>
      <c r="M314" s="33"/>
      <c r="N314" s="33"/>
      <c r="O314" s="33"/>
      <c r="P314" s="29"/>
      <c r="Q314" s="36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</row>
    <row r="315" spans="1:50" ht="12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L315" s="48"/>
      <c r="M315" s="33"/>
      <c r="N315" s="33"/>
      <c r="O315" s="33"/>
      <c r="P315" s="29"/>
      <c r="Q315" s="36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</row>
    <row r="316" spans="1:50" ht="12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L316" s="48"/>
      <c r="M316" s="33"/>
      <c r="N316" s="33"/>
      <c r="O316" s="33"/>
      <c r="P316" s="29"/>
      <c r="Q316" s="36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</row>
    <row r="317" spans="1:50" ht="1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L317" s="48"/>
      <c r="M317" s="33"/>
      <c r="N317" s="33"/>
      <c r="O317" s="33"/>
      <c r="P317" s="29"/>
      <c r="Q317" s="36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</row>
    <row r="318" spans="1:50" ht="12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L318" s="48"/>
      <c r="M318" s="33"/>
      <c r="N318" s="33"/>
      <c r="O318" s="33"/>
      <c r="P318" s="29"/>
      <c r="Q318" s="36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</row>
    <row r="319" spans="1:50" ht="12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L319" s="48"/>
      <c r="M319" s="33"/>
      <c r="N319" s="33"/>
      <c r="O319" s="33"/>
      <c r="P319" s="29"/>
      <c r="Q319" s="36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</row>
    <row r="320" spans="1:50" ht="12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L320" s="48"/>
      <c r="M320" s="33"/>
      <c r="N320" s="33"/>
      <c r="O320" s="33"/>
      <c r="P320" s="29"/>
      <c r="Q320" s="36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</row>
    <row r="321" spans="1:50" ht="12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L321" s="48"/>
      <c r="M321" s="33"/>
      <c r="N321" s="33"/>
      <c r="O321" s="33"/>
      <c r="P321" s="29"/>
      <c r="Q321" s="36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</row>
    <row r="322" spans="1:50" ht="12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L322" s="48"/>
      <c r="M322" s="33"/>
      <c r="N322" s="33"/>
      <c r="O322" s="33"/>
      <c r="P322" s="29"/>
      <c r="Q322" s="36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</row>
    <row r="323" spans="1:50" ht="12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L323" s="48"/>
      <c r="M323" s="33"/>
      <c r="N323" s="33"/>
      <c r="O323" s="33"/>
      <c r="P323" s="29"/>
      <c r="Q323" s="36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</row>
    <row r="324" spans="1:50" ht="12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L324" s="48"/>
      <c r="M324" s="33"/>
      <c r="N324" s="33"/>
      <c r="O324" s="33"/>
      <c r="P324" s="29"/>
      <c r="Q324" s="36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</row>
    <row r="325" spans="1:50" ht="12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L325" s="48"/>
      <c r="M325" s="33"/>
      <c r="N325" s="33"/>
      <c r="O325" s="33"/>
      <c r="P325" s="29"/>
      <c r="Q325" s="36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</row>
    <row r="326" spans="1:50" ht="12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L326" s="48"/>
      <c r="M326" s="33"/>
      <c r="N326" s="33"/>
      <c r="O326" s="33"/>
      <c r="P326" s="29"/>
      <c r="Q326" s="36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</row>
    <row r="327" spans="1:50" ht="12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L327" s="48"/>
      <c r="M327" s="33"/>
      <c r="N327" s="33"/>
      <c r="O327" s="33"/>
      <c r="P327" s="29"/>
      <c r="Q327" s="36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</row>
    <row r="328" spans="1:50" ht="12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L328" s="48"/>
      <c r="M328" s="33"/>
      <c r="N328" s="33"/>
      <c r="O328" s="33"/>
      <c r="P328" s="29"/>
      <c r="Q328" s="36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</row>
    <row r="329" spans="1:50" ht="12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L329" s="48"/>
      <c r="M329" s="33"/>
      <c r="N329" s="33"/>
      <c r="O329" s="33"/>
      <c r="P329" s="29"/>
      <c r="Q329" s="36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</row>
    <row r="330" spans="1:50" ht="12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L330" s="48"/>
      <c r="M330" s="33"/>
      <c r="N330" s="33"/>
      <c r="O330" s="33"/>
      <c r="P330" s="29"/>
      <c r="Q330" s="36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</row>
    <row r="331" spans="1:50" ht="12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L331" s="48"/>
      <c r="M331" s="33"/>
      <c r="N331" s="33"/>
      <c r="O331" s="33"/>
      <c r="P331" s="29"/>
      <c r="Q331" s="36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</row>
    <row r="332" spans="1:50" ht="12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L332" s="48"/>
      <c r="M332" s="33"/>
      <c r="N332" s="33"/>
      <c r="O332" s="33"/>
      <c r="P332" s="29"/>
      <c r="Q332" s="36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</row>
    <row r="333" spans="1:50" ht="12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L333" s="48"/>
      <c r="M333" s="33"/>
      <c r="N333" s="33"/>
      <c r="O333" s="33"/>
      <c r="P333" s="29"/>
      <c r="Q333" s="36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</row>
    <row r="334" spans="1:50" ht="12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L334" s="48"/>
      <c r="M334" s="33"/>
      <c r="N334" s="33"/>
      <c r="O334" s="33"/>
      <c r="P334" s="29"/>
      <c r="Q334" s="36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</row>
    <row r="335" spans="1:50" ht="12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L335" s="48"/>
      <c r="M335" s="33"/>
      <c r="N335" s="33"/>
      <c r="O335" s="33"/>
      <c r="P335" s="29"/>
      <c r="Q335" s="36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</row>
    <row r="336" spans="1:50" ht="12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L336" s="48"/>
      <c r="M336" s="33"/>
      <c r="N336" s="33"/>
      <c r="O336" s="33"/>
      <c r="P336" s="29"/>
      <c r="Q336" s="36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</row>
    <row r="337" spans="1:50" ht="12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L337" s="48"/>
      <c r="M337" s="33"/>
      <c r="N337" s="33"/>
      <c r="O337" s="33"/>
      <c r="P337" s="29"/>
      <c r="Q337" s="36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</row>
    <row r="338" spans="1:50" ht="12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L338" s="48"/>
      <c r="M338" s="33"/>
      <c r="N338" s="33"/>
      <c r="O338" s="33"/>
      <c r="P338" s="29"/>
      <c r="Q338" s="36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</row>
    <row r="339" spans="1:50" ht="12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L339" s="48"/>
      <c r="M339" s="33"/>
      <c r="N339" s="33"/>
      <c r="O339" s="33"/>
      <c r="P339" s="29"/>
      <c r="Q339" s="36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</row>
    <row r="340" spans="1:50" ht="12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L340" s="48"/>
      <c r="M340" s="33"/>
      <c r="N340" s="33"/>
      <c r="O340" s="33"/>
      <c r="P340" s="29"/>
      <c r="Q340" s="36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</row>
    <row r="341" spans="1:50" ht="12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L341" s="48"/>
      <c r="M341" s="33"/>
      <c r="N341" s="33"/>
      <c r="O341" s="33"/>
      <c r="P341" s="29"/>
      <c r="Q341" s="36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</row>
    <row r="342" spans="1:50" ht="12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L342" s="48"/>
      <c r="M342" s="33"/>
      <c r="N342" s="33"/>
      <c r="O342" s="33"/>
      <c r="P342" s="29"/>
      <c r="Q342" s="36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</row>
    <row r="343" spans="1:50" ht="12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L343" s="48"/>
      <c r="M343" s="33"/>
      <c r="N343" s="33"/>
      <c r="O343" s="33"/>
      <c r="P343" s="29"/>
      <c r="Q343" s="36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</row>
    <row r="344" spans="1:50" ht="12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L344" s="48"/>
      <c r="M344" s="33"/>
      <c r="N344" s="33"/>
      <c r="O344" s="33"/>
      <c r="P344" s="29"/>
      <c r="Q344" s="36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</row>
    <row r="345" spans="1:50" ht="12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L345" s="48"/>
      <c r="M345" s="33"/>
      <c r="N345" s="33"/>
      <c r="O345" s="33"/>
      <c r="P345" s="29"/>
      <c r="Q345" s="36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</row>
    <row r="346" spans="1:50" ht="12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L346" s="48"/>
      <c r="M346" s="33"/>
      <c r="N346" s="33"/>
      <c r="O346" s="33"/>
      <c r="P346" s="29"/>
      <c r="Q346" s="36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</row>
    <row r="347" spans="1:50" ht="12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L347" s="48"/>
      <c r="M347" s="33"/>
      <c r="N347" s="33"/>
      <c r="O347" s="33"/>
      <c r="P347" s="29"/>
      <c r="Q347" s="36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</row>
    <row r="348" spans="1:50" ht="12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L348" s="48"/>
      <c r="M348" s="33"/>
      <c r="N348" s="33"/>
      <c r="O348" s="33"/>
      <c r="P348" s="29"/>
      <c r="Q348" s="36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</row>
    <row r="349" spans="1:50" ht="12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L349" s="48"/>
      <c r="M349" s="33"/>
      <c r="N349" s="33"/>
      <c r="O349" s="33"/>
      <c r="P349" s="29"/>
      <c r="Q349" s="36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</row>
    <row r="350" spans="1:50" ht="12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L350" s="48"/>
      <c r="M350" s="33"/>
      <c r="N350" s="33"/>
      <c r="O350" s="33"/>
      <c r="P350" s="29"/>
      <c r="Q350" s="36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</row>
    <row r="351" spans="1:50" ht="12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L351" s="48"/>
      <c r="M351" s="33"/>
      <c r="N351" s="33"/>
      <c r="O351" s="33"/>
      <c r="P351" s="29"/>
      <c r="Q351" s="36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</row>
    <row r="352" spans="1:50" ht="12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L352" s="48"/>
      <c r="M352" s="33"/>
      <c r="N352" s="33"/>
      <c r="O352" s="33"/>
      <c r="P352" s="29"/>
      <c r="Q352" s="36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</row>
    <row r="353" spans="1:50" ht="1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L353" s="48"/>
      <c r="M353" s="33"/>
      <c r="N353" s="33"/>
      <c r="O353" s="33"/>
      <c r="P353" s="29"/>
      <c r="Q353" s="36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</row>
    <row r="354" spans="1:50" ht="12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L354" s="48"/>
      <c r="M354" s="33"/>
      <c r="N354" s="33"/>
      <c r="O354" s="33"/>
      <c r="P354" s="29"/>
      <c r="Q354" s="36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</row>
    <row r="355" spans="1:50" ht="12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L355" s="48"/>
      <c r="M355" s="33"/>
      <c r="N355" s="33"/>
      <c r="O355" s="33"/>
      <c r="P355" s="29"/>
      <c r="Q355" s="36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</row>
    <row r="356" spans="1:50" ht="12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L356" s="48"/>
      <c r="M356" s="33"/>
      <c r="N356" s="33"/>
      <c r="O356" s="33"/>
      <c r="P356" s="29"/>
      <c r="Q356" s="36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</row>
    <row r="357" spans="1:50" ht="12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L357" s="48"/>
      <c r="M357" s="33"/>
      <c r="N357" s="33"/>
      <c r="O357" s="33"/>
      <c r="P357" s="29"/>
      <c r="Q357" s="36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</row>
    <row r="358" spans="1:50" ht="12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L358" s="48"/>
      <c r="M358" s="33"/>
      <c r="N358" s="33"/>
      <c r="O358" s="33"/>
      <c r="P358" s="29"/>
      <c r="Q358" s="36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</row>
    <row r="359" spans="1:50" ht="12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L359" s="48"/>
      <c r="M359" s="33"/>
      <c r="N359" s="33"/>
      <c r="O359" s="33"/>
      <c r="P359" s="29"/>
      <c r="Q359" s="36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</row>
    <row r="360" spans="1:50" ht="12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L360" s="48"/>
      <c r="M360" s="33"/>
      <c r="N360" s="33"/>
      <c r="O360" s="33"/>
      <c r="P360" s="29"/>
      <c r="Q360" s="36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</row>
    <row r="361" spans="1:50" ht="12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L361" s="48"/>
      <c r="M361" s="33"/>
      <c r="N361" s="33"/>
      <c r="O361" s="33"/>
      <c r="P361" s="29"/>
      <c r="Q361" s="36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</row>
    <row r="362" spans="1:50" ht="12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L362" s="48"/>
      <c r="M362" s="33"/>
      <c r="N362" s="33"/>
      <c r="O362" s="33"/>
      <c r="P362" s="29"/>
      <c r="Q362" s="36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</row>
    <row r="363" spans="1:50" ht="12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L363" s="48"/>
      <c r="M363" s="33"/>
      <c r="N363" s="33"/>
      <c r="O363" s="33"/>
      <c r="P363" s="29"/>
      <c r="Q363" s="36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</row>
    <row r="364" spans="1:50" ht="12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L364" s="48"/>
      <c r="M364" s="33"/>
      <c r="N364" s="33"/>
      <c r="O364" s="33"/>
      <c r="P364" s="29"/>
      <c r="Q364" s="36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</row>
    <row r="365" spans="1:50" ht="12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L365" s="48"/>
      <c r="M365" s="33"/>
      <c r="N365" s="33"/>
      <c r="O365" s="33"/>
      <c r="P365" s="29"/>
      <c r="Q365" s="36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</row>
    <row r="366" spans="1:50" ht="12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L366" s="48"/>
      <c r="M366" s="33"/>
      <c r="N366" s="33"/>
      <c r="O366" s="33"/>
      <c r="P366" s="29"/>
      <c r="Q366" s="36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</row>
    <row r="367" spans="1:50" ht="12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L367" s="48"/>
      <c r="M367" s="33"/>
      <c r="N367" s="33"/>
      <c r="O367" s="33"/>
      <c r="P367" s="29"/>
      <c r="Q367" s="36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</row>
    <row r="368" spans="1:50" ht="12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L368" s="48"/>
      <c r="M368" s="33"/>
      <c r="N368" s="33"/>
      <c r="O368" s="33"/>
      <c r="P368" s="29"/>
      <c r="Q368" s="36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</row>
    <row r="369" spans="1:50" ht="12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L369" s="48"/>
      <c r="M369" s="33"/>
      <c r="N369" s="33"/>
      <c r="O369" s="33"/>
      <c r="P369" s="29"/>
      <c r="Q369" s="36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</row>
    <row r="370" spans="1:50" ht="12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L370" s="48"/>
      <c r="M370" s="33"/>
      <c r="N370" s="33"/>
      <c r="O370" s="33"/>
      <c r="P370" s="29"/>
      <c r="Q370" s="36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</row>
    <row r="371" spans="1:50" ht="12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L371" s="48"/>
      <c r="M371" s="33"/>
      <c r="N371" s="33"/>
      <c r="O371" s="33"/>
      <c r="P371" s="29"/>
      <c r="Q371" s="36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</row>
    <row r="372" spans="1:50" ht="12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L372" s="48"/>
      <c r="M372" s="33"/>
      <c r="N372" s="33"/>
      <c r="O372" s="33"/>
      <c r="P372" s="29"/>
      <c r="Q372" s="36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</row>
    <row r="373" spans="1:50" ht="12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L373" s="48"/>
      <c r="M373" s="33"/>
      <c r="N373" s="33"/>
      <c r="O373" s="33"/>
      <c r="P373" s="29"/>
      <c r="Q373" s="36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</row>
    <row r="374" spans="1:50" ht="12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L374" s="48"/>
      <c r="M374" s="33"/>
      <c r="N374" s="33"/>
      <c r="O374" s="33"/>
      <c r="P374" s="29"/>
      <c r="Q374" s="36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</row>
    <row r="375" spans="1:50" ht="12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L375" s="48"/>
      <c r="M375" s="33"/>
      <c r="N375" s="33"/>
      <c r="O375" s="33"/>
      <c r="P375" s="29"/>
      <c r="Q375" s="36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</row>
    <row r="376" spans="1:50" ht="12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L376" s="48"/>
      <c r="M376" s="33"/>
      <c r="N376" s="33"/>
      <c r="O376" s="33"/>
      <c r="P376" s="29"/>
      <c r="Q376" s="36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</row>
    <row r="377" spans="1:50" ht="12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L377" s="48"/>
      <c r="M377" s="33"/>
      <c r="N377" s="33"/>
      <c r="O377" s="33"/>
      <c r="P377" s="29"/>
      <c r="Q377" s="36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</row>
    <row r="378" spans="1:50" ht="12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L378" s="48"/>
      <c r="M378" s="33"/>
      <c r="N378" s="33"/>
      <c r="O378" s="33"/>
      <c r="P378" s="29"/>
      <c r="Q378" s="36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</row>
    <row r="379" spans="1:50" ht="12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L379" s="48"/>
      <c r="M379" s="33"/>
      <c r="N379" s="33"/>
      <c r="O379" s="33"/>
      <c r="P379" s="29"/>
      <c r="Q379" s="36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</row>
    <row r="380" spans="1:50" ht="12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L380" s="48"/>
      <c r="M380" s="33"/>
      <c r="N380" s="33"/>
      <c r="O380" s="33"/>
      <c r="P380" s="29"/>
      <c r="Q380" s="36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</row>
    <row r="381" spans="1:50" ht="12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L381" s="48"/>
      <c r="M381" s="33"/>
      <c r="N381" s="33"/>
      <c r="O381" s="33"/>
      <c r="P381" s="29"/>
      <c r="Q381" s="36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</row>
    <row r="382" spans="1:50" ht="12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L382" s="48"/>
      <c r="M382" s="33"/>
      <c r="N382" s="33"/>
      <c r="O382" s="33"/>
      <c r="P382" s="29"/>
      <c r="Q382" s="36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</row>
    <row r="383" spans="1:50" ht="12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L383" s="48"/>
      <c r="M383" s="33"/>
      <c r="N383" s="33"/>
      <c r="O383" s="33"/>
      <c r="P383" s="29"/>
      <c r="Q383" s="36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</row>
    <row r="384" spans="1:50" ht="12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L384" s="48"/>
      <c r="M384" s="33"/>
      <c r="N384" s="33"/>
      <c r="O384" s="33"/>
      <c r="P384" s="29"/>
      <c r="Q384" s="36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</row>
    <row r="385" spans="1:50" ht="12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L385" s="48"/>
      <c r="M385" s="33"/>
      <c r="N385" s="33"/>
      <c r="O385" s="33"/>
      <c r="P385" s="29"/>
      <c r="Q385" s="36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</row>
    <row r="386" spans="1:50" ht="12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L386" s="48"/>
      <c r="M386" s="33"/>
      <c r="N386" s="33"/>
      <c r="O386" s="33"/>
      <c r="P386" s="29"/>
      <c r="Q386" s="36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</row>
    <row r="387" spans="1:50" ht="12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L387" s="48"/>
      <c r="M387" s="33"/>
      <c r="N387" s="33"/>
      <c r="O387" s="33"/>
      <c r="P387" s="29"/>
      <c r="Q387" s="36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</row>
    <row r="388" spans="1:50" ht="12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L388" s="48"/>
      <c r="M388" s="33"/>
      <c r="N388" s="33"/>
      <c r="O388" s="33"/>
      <c r="P388" s="29"/>
      <c r="Q388" s="36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</row>
    <row r="389" spans="1:50" ht="1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L389" s="48"/>
      <c r="M389" s="33"/>
      <c r="N389" s="33"/>
      <c r="O389" s="33"/>
      <c r="P389" s="29"/>
      <c r="Q389" s="36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</row>
    <row r="390" spans="1:50" ht="12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L390" s="48"/>
      <c r="M390" s="33"/>
      <c r="N390" s="33"/>
      <c r="O390" s="33"/>
      <c r="P390" s="29"/>
      <c r="Q390" s="36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</row>
    <row r="391" spans="1:50" ht="12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L391" s="48"/>
      <c r="M391" s="33"/>
      <c r="N391" s="33"/>
      <c r="O391" s="33"/>
      <c r="P391" s="29"/>
      <c r="Q391" s="36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</row>
    <row r="392" spans="1:50" ht="12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L392" s="48"/>
      <c r="M392" s="33"/>
      <c r="N392" s="33"/>
      <c r="O392" s="33"/>
      <c r="P392" s="29"/>
      <c r="Q392" s="36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</row>
    <row r="393" spans="1:50" ht="12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L393" s="48"/>
      <c r="M393" s="33"/>
      <c r="N393" s="33"/>
      <c r="O393" s="33"/>
      <c r="P393" s="29"/>
      <c r="Q393" s="36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</row>
    <row r="394" spans="1:50" ht="12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L394" s="48"/>
      <c r="M394" s="33"/>
      <c r="N394" s="33"/>
      <c r="O394" s="33"/>
      <c r="P394" s="29"/>
      <c r="Q394" s="36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</row>
    <row r="395" spans="1:50" ht="12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L395" s="48"/>
      <c r="M395" s="33"/>
      <c r="N395" s="33"/>
      <c r="O395" s="33"/>
      <c r="P395" s="29"/>
      <c r="Q395" s="36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</row>
    <row r="396" spans="1:50" ht="12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L396" s="48"/>
      <c r="M396" s="33"/>
      <c r="N396" s="33"/>
      <c r="O396" s="33"/>
      <c r="P396" s="29"/>
      <c r="Q396" s="36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</row>
    <row r="397" spans="1:50" ht="12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L397" s="48"/>
      <c r="M397" s="33"/>
      <c r="N397" s="33"/>
      <c r="O397" s="33"/>
      <c r="P397" s="29"/>
      <c r="Q397" s="36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</row>
    <row r="398" spans="1:50" ht="12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L398" s="48"/>
      <c r="M398" s="33"/>
      <c r="N398" s="33"/>
      <c r="O398" s="33"/>
      <c r="P398" s="29"/>
      <c r="Q398" s="36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</row>
    <row r="399" spans="1:50" ht="12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L399" s="48"/>
      <c r="M399" s="33"/>
      <c r="N399" s="33"/>
      <c r="O399" s="33"/>
      <c r="P399" s="29"/>
      <c r="Q399" s="36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</row>
    <row r="400" spans="1:50" ht="12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L400" s="48"/>
      <c r="M400" s="33"/>
      <c r="N400" s="33"/>
      <c r="O400" s="33"/>
      <c r="P400" s="29"/>
      <c r="Q400" s="36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</row>
    <row r="401" spans="1:50" ht="12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L401" s="48"/>
      <c r="M401" s="33"/>
      <c r="N401" s="33"/>
      <c r="O401" s="33"/>
      <c r="P401" s="29"/>
      <c r="Q401" s="36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</row>
    <row r="402" spans="1:50" ht="12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L402" s="48"/>
      <c r="M402" s="33"/>
      <c r="N402" s="33"/>
      <c r="O402" s="33"/>
      <c r="P402" s="29"/>
      <c r="Q402" s="36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</row>
    <row r="403" spans="1:50" ht="12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L403" s="48"/>
      <c r="M403" s="33"/>
      <c r="N403" s="33"/>
      <c r="O403" s="33"/>
      <c r="P403" s="29"/>
      <c r="Q403" s="36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</row>
    <row r="404" spans="1:50" ht="12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L404" s="48"/>
      <c r="M404" s="33"/>
      <c r="N404" s="33"/>
      <c r="O404" s="33"/>
      <c r="P404" s="29"/>
      <c r="Q404" s="36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</row>
    <row r="405" spans="1:50" ht="12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L405" s="48"/>
      <c r="M405" s="33"/>
      <c r="N405" s="33"/>
      <c r="O405" s="33"/>
      <c r="P405" s="29"/>
      <c r="Q405" s="36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</row>
    <row r="406" spans="1:50" ht="12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L406" s="48"/>
      <c r="M406" s="33"/>
      <c r="N406" s="33"/>
      <c r="O406" s="33"/>
      <c r="P406" s="29"/>
      <c r="Q406" s="36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</row>
    <row r="407" spans="1:50" ht="12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L407" s="48"/>
      <c r="M407" s="33"/>
      <c r="N407" s="33"/>
      <c r="O407" s="33"/>
      <c r="P407" s="29"/>
      <c r="Q407" s="36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</row>
    <row r="408" spans="1:50" ht="12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L408" s="48"/>
      <c r="M408" s="33"/>
      <c r="N408" s="33"/>
      <c r="O408" s="33"/>
      <c r="P408" s="29"/>
      <c r="Q408" s="36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</row>
    <row r="409" spans="1:50" ht="12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L409" s="48"/>
      <c r="M409" s="33"/>
      <c r="N409" s="33"/>
      <c r="O409" s="33"/>
      <c r="P409" s="29"/>
      <c r="Q409" s="36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</row>
    <row r="410" spans="1:50" ht="12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L410" s="48"/>
      <c r="M410" s="33"/>
      <c r="N410" s="33"/>
      <c r="O410" s="33"/>
      <c r="P410" s="29"/>
      <c r="Q410" s="36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</row>
    <row r="411" spans="1:50" ht="12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L411" s="48"/>
      <c r="M411" s="33"/>
      <c r="N411" s="33"/>
      <c r="O411" s="33"/>
      <c r="P411" s="29"/>
      <c r="Q411" s="36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</row>
    <row r="412" spans="1:50" ht="12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L412" s="48"/>
      <c r="M412" s="33"/>
      <c r="N412" s="33"/>
      <c r="O412" s="33"/>
      <c r="P412" s="29"/>
      <c r="Q412" s="36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</row>
    <row r="413" spans="1:50" ht="12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L413" s="48"/>
      <c r="M413" s="33"/>
      <c r="N413" s="33"/>
      <c r="O413" s="33"/>
      <c r="P413" s="29"/>
      <c r="Q413" s="36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</row>
    <row r="414" spans="1:50" ht="12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L414" s="48"/>
      <c r="M414" s="33"/>
      <c r="N414" s="33"/>
      <c r="O414" s="33"/>
      <c r="P414" s="29"/>
      <c r="Q414" s="36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</row>
    <row r="415" spans="1:50" ht="12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L415" s="48"/>
      <c r="M415" s="33"/>
      <c r="N415" s="33"/>
      <c r="O415" s="33"/>
      <c r="P415" s="29"/>
      <c r="Q415" s="36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</row>
    <row r="416" spans="1:50" ht="12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L416" s="48"/>
      <c r="M416" s="33"/>
      <c r="N416" s="33"/>
      <c r="O416" s="33"/>
      <c r="P416" s="29"/>
      <c r="Q416" s="36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</row>
    <row r="417" spans="1:50" ht="12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L417" s="48"/>
      <c r="M417" s="33"/>
      <c r="N417" s="33"/>
      <c r="O417" s="33"/>
      <c r="P417" s="29"/>
      <c r="Q417" s="36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</row>
    <row r="418" spans="1:50" ht="12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L418" s="48"/>
      <c r="M418" s="33"/>
      <c r="N418" s="33"/>
      <c r="O418" s="33"/>
      <c r="P418" s="29"/>
      <c r="Q418" s="36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</row>
    <row r="419" spans="1:50" ht="12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L419" s="48"/>
      <c r="M419" s="33"/>
      <c r="N419" s="33"/>
      <c r="O419" s="33"/>
      <c r="P419" s="29"/>
      <c r="Q419" s="36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</row>
    <row r="420" spans="1:50" ht="12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L420" s="48"/>
      <c r="M420" s="33"/>
      <c r="N420" s="33"/>
      <c r="O420" s="33"/>
      <c r="P420" s="29"/>
      <c r="Q420" s="36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</row>
    <row r="421" spans="1:50" ht="12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L421" s="48"/>
      <c r="M421" s="33"/>
      <c r="N421" s="33"/>
      <c r="O421" s="33"/>
      <c r="P421" s="29"/>
      <c r="Q421" s="36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</row>
    <row r="422" spans="1:50" ht="12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L422" s="48"/>
      <c r="M422" s="33"/>
      <c r="N422" s="33"/>
      <c r="O422" s="33"/>
      <c r="P422" s="29"/>
      <c r="Q422" s="36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</row>
    <row r="423" spans="1:50" ht="12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L423" s="48"/>
      <c r="M423" s="33"/>
      <c r="N423" s="33"/>
      <c r="O423" s="33"/>
      <c r="P423" s="29"/>
      <c r="Q423" s="36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</row>
    <row r="424" spans="1:50" ht="12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L424" s="48"/>
      <c r="M424" s="33"/>
      <c r="N424" s="33"/>
      <c r="O424" s="33"/>
      <c r="P424" s="29"/>
      <c r="Q424" s="36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</row>
    <row r="425" spans="1:50" ht="1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L425" s="48"/>
      <c r="M425" s="33"/>
      <c r="N425" s="33"/>
      <c r="O425" s="33"/>
      <c r="P425" s="29"/>
      <c r="Q425" s="36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</row>
    <row r="426" spans="1:50" ht="12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L426" s="48"/>
      <c r="M426" s="33"/>
      <c r="N426" s="33"/>
      <c r="O426" s="33"/>
      <c r="P426" s="29"/>
      <c r="Q426" s="36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</row>
    <row r="427" spans="1:50" ht="12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L427" s="48"/>
      <c r="M427" s="33"/>
      <c r="N427" s="33"/>
      <c r="O427" s="33"/>
      <c r="P427" s="29"/>
      <c r="Q427" s="36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</row>
    <row r="428" spans="1:50" ht="12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L428" s="48"/>
      <c r="M428" s="33"/>
      <c r="N428" s="33"/>
      <c r="O428" s="33"/>
      <c r="P428" s="29"/>
      <c r="Q428" s="36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</row>
    <row r="429" spans="1:50" ht="12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L429" s="48"/>
      <c r="M429" s="33"/>
      <c r="N429" s="33"/>
      <c r="O429" s="33"/>
      <c r="P429" s="29"/>
      <c r="Q429" s="36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</row>
    <row r="430" spans="1:50" ht="12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L430" s="48"/>
      <c r="M430" s="33"/>
      <c r="N430" s="33"/>
      <c r="O430" s="33"/>
      <c r="P430" s="29"/>
      <c r="Q430" s="36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</row>
    <row r="431" spans="1:50" ht="12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L431" s="48"/>
      <c r="M431" s="33"/>
      <c r="N431" s="33"/>
      <c r="O431" s="33"/>
      <c r="P431" s="29"/>
      <c r="Q431" s="36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</row>
    <row r="432" spans="1:50" ht="12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L432" s="48"/>
      <c r="M432" s="33"/>
      <c r="N432" s="33"/>
      <c r="O432" s="33"/>
      <c r="P432" s="29"/>
      <c r="Q432" s="36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</row>
    <row r="433" spans="1:50" ht="12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L433" s="48"/>
      <c r="M433" s="33"/>
      <c r="N433" s="33"/>
      <c r="O433" s="33"/>
      <c r="P433" s="29"/>
      <c r="Q433" s="36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</row>
    <row r="434" spans="1:50" ht="12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L434" s="48"/>
      <c r="M434" s="33"/>
      <c r="N434" s="33"/>
      <c r="O434" s="33"/>
      <c r="P434" s="29"/>
      <c r="Q434" s="36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</row>
    <row r="435" spans="1:50" ht="12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L435" s="48"/>
      <c r="M435" s="33"/>
      <c r="N435" s="33"/>
      <c r="O435" s="33"/>
      <c r="P435" s="29"/>
      <c r="Q435" s="36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</row>
    <row r="436" spans="1:50" ht="12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L436" s="48"/>
      <c r="M436" s="33"/>
      <c r="N436" s="33"/>
      <c r="O436" s="33"/>
      <c r="P436" s="29"/>
      <c r="Q436" s="36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</row>
    <row r="437" spans="1:50" ht="12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L437" s="48"/>
      <c r="M437" s="33"/>
      <c r="N437" s="33"/>
      <c r="O437" s="33"/>
      <c r="P437" s="29"/>
      <c r="Q437" s="36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</row>
    <row r="438" spans="1:50" ht="12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L438" s="48"/>
      <c r="M438" s="33"/>
      <c r="N438" s="33"/>
      <c r="O438" s="33"/>
      <c r="P438" s="29"/>
      <c r="Q438" s="36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</row>
    <row r="439" spans="1:50" ht="12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L439" s="48"/>
      <c r="M439" s="33"/>
      <c r="N439" s="33"/>
      <c r="O439" s="33"/>
      <c r="P439" s="29"/>
      <c r="Q439" s="36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</row>
    <row r="440" spans="1:50" ht="12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L440" s="48"/>
      <c r="M440" s="33"/>
      <c r="N440" s="33"/>
      <c r="O440" s="33"/>
      <c r="P440" s="29"/>
      <c r="Q440" s="36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</row>
    <row r="441" spans="1:50" ht="12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L441" s="48"/>
      <c r="M441" s="33"/>
      <c r="N441" s="33"/>
      <c r="O441" s="33"/>
      <c r="P441" s="29"/>
      <c r="Q441" s="36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</row>
    <row r="442" spans="1:50" ht="12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L442" s="48"/>
      <c r="M442" s="33"/>
      <c r="N442" s="33"/>
      <c r="O442" s="33"/>
      <c r="P442" s="29"/>
      <c r="Q442" s="36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</row>
    <row r="443" spans="1:50" ht="12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L443" s="48"/>
      <c r="M443" s="33"/>
      <c r="N443" s="33"/>
      <c r="O443" s="33"/>
      <c r="P443" s="29"/>
      <c r="Q443" s="36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</row>
    <row r="444" spans="1:50" ht="12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L444" s="48"/>
      <c r="M444" s="33"/>
      <c r="N444" s="33"/>
      <c r="O444" s="33"/>
      <c r="P444" s="29"/>
      <c r="Q444" s="36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</row>
    <row r="445" spans="1:50" ht="12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L445" s="48"/>
      <c r="M445" s="33"/>
      <c r="N445" s="33"/>
      <c r="O445" s="33"/>
      <c r="P445" s="29"/>
      <c r="Q445" s="36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</row>
    <row r="446" spans="1:50" ht="12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L446" s="48"/>
      <c r="M446" s="33"/>
      <c r="N446" s="33"/>
      <c r="O446" s="33"/>
      <c r="P446" s="29"/>
      <c r="Q446" s="36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</row>
    <row r="447" spans="1:50" ht="12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L447" s="48"/>
      <c r="M447" s="33"/>
      <c r="N447" s="33"/>
      <c r="O447" s="33"/>
      <c r="P447" s="29"/>
      <c r="Q447" s="36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</row>
    <row r="448" spans="1:50" ht="12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L448" s="48"/>
      <c r="M448" s="33"/>
      <c r="N448" s="33"/>
      <c r="O448" s="33"/>
      <c r="P448" s="29"/>
      <c r="Q448" s="36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</row>
    <row r="449" spans="1:50" ht="12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L449" s="48"/>
      <c r="M449" s="33"/>
      <c r="N449" s="33"/>
      <c r="O449" s="33"/>
      <c r="P449" s="29"/>
      <c r="Q449" s="36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</row>
    <row r="450" spans="1:50" ht="12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L450" s="48"/>
      <c r="M450" s="33"/>
      <c r="N450" s="33"/>
      <c r="O450" s="33"/>
      <c r="P450" s="29"/>
      <c r="Q450" s="36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</row>
    <row r="451" spans="1:50" ht="12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L451" s="48"/>
      <c r="M451" s="33"/>
      <c r="N451" s="33"/>
      <c r="O451" s="33"/>
      <c r="P451" s="29"/>
      <c r="Q451" s="36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</row>
    <row r="452" spans="1:50" ht="12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L452" s="48"/>
      <c r="M452" s="33"/>
      <c r="N452" s="33"/>
      <c r="O452" s="33"/>
      <c r="P452" s="29"/>
      <c r="Q452" s="36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</row>
    <row r="453" spans="1:50" ht="12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L453" s="48"/>
      <c r="M453" s="33"/>
      <c r="N453" s="33"/>
      <c r="O453" s="33"/>
      <c r="P453" s="29"/>
      <c r="Q453" s="36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</row>
    <row r="454" spans="1:50" ht="12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L454" s="48"/>
      <c r="M454" s="33"/>
      <c r="N454" s="33"/>
      <c r="O454" s="33"/>
      <c r="P454" s="29"/>
      <c r="Q454" s="36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</row>
    <row r="455" spans="1:50" ht="12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L455" s="48"/>
      <c r="M455" s="33"/>
      <c r="N455" s="33"/>
      <c r="O455" s="33"/>
      <c r="P455" s="29"/>
      <c r="Q455" s="36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</row>
    <row r="456" spans="1:50" ht="12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L456" s="48"/>
      <c r="M456" s="33"/>
      <c r="N456" s="33"/>
      <c r="O456" s="33"/>
      <c r="P456" s="29"/>
      <c r="Q456" s="36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</row>
    <row r="457" spans="1:50" ht="12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L457" s="48"/>
      <c r="M457" s="33"/>
      <c r="N457" s="33"/>
      <c r="O457" s="33"/>
      <c r="P457" s="29"/>
      <c r="Q457" s="36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</row>
    <row r="458" spans="1:50" ht="12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L458" s="48"/>
      <c r="M458" s="33"/>
      <c r="N458" s="33"/>
      <c r="O458" s="33"/>
      <c r="P458" s="29"/>
      <c r="Q458" s="36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</row>
    <row r="459" spans="1:50" ht="12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L459" s="48"/>
      <c r="M459" s="33"/>
      <c r="N459" s="33"/>
      <c r="O459" s="33"/>
      <c r="P459" s="29"/>
      <c r="Q459" s="36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</row>
    <row r="460" spans="1:50" ht="12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L460" s="48"/>
      <c r="M460" s="33"/>
      <c r="N460" s="33"/>
      <c r="O460" s="33"/>
      <c r="P460" s="29"/>
      <c r="Q460" s="36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</row>
    <row r="461" spans="1:50" ht="1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L461" s="48"/>
      <c r="M461" s="33"/>
      <c r="N461" s="33"/>
      <c r="O461" s="33"/>
      <c r="P461" s="29"/>
      <c r="Q461" s="36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</row>
    <row r="462" spans="1:50" ht="12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L462" s="48"/>
      <c r="M462" s="33"/>
      <c r="N462" s="33"/>
      <c r="O462" s="33"/>
      <c r="P462" s="29"/>
      <c r="Q462" s="36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</row>
    <row r="463" spans="1:50" ht="12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L463" s="48"/>
      <c r="M463" s="33"/>
      <c r="N463" s="33"/>
      <c r="O463" s="33"/>
      <c r="P463" s="29"/>
      <c r="Q463" s="36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</row>
    <row r="464" spans="1:50" ht="12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L464" s="48"/>
      <c r="M464" s="33"/>
      <c r="N464" s="33"/>
      <c r="O464" s="33"/>
      <c r="P464" s="29"/>
      <c r="Q464" s="36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</row>
    <row r="465" spans="1:50" ht="12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L465" s="48"/>
      <c r="M465" s="33"/>
      <c r="N465" s="33"/>
      <c r="O465" s="33"/>
      <c r="P465" s="29"/>
      <c r="Q465" s="36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</row>
    <row r="466" spans="1:50" ht="12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L466" s="48"/>
      <c r="M466" s="33"/>
      <c r="N466" s="33"/>
      <c r="O466" s="33"/>
      <c r="P466" s="29"/>
      <c r="Q466" s="36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</row>
    <row r="467" spans="1:50" ht="12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L467" s="48"/>
      <c r="M467" s="33"/>
      <c r="N467" s="33"/>
      <c r="O467" s="33"/>
      <c r="P467" s="29"/>
      <c r="Q467" s="36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</row>
    <row r="468" spans="1:50" ht="12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L468" s="48"/>
      <c r="M468" s="33"/>
      <c r="N468" s="33"/>
      <c r="O468" s="33"/>
      <c r="P468" s="29"/>
      <c r="Q468" s="36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</row>
    <row r="469" spans="1:50" ht="12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L469" s="48"/>
      <c r="M469" s="33"/>
      <c r="N469" s="33"/>
      <c r="O469" s="33"/>
      <c r="P469" s="29"/>
      <c r="Q469" s="36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</row>
    <row r="470" spans="1:50" ht="12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L470" s="48"/>
      <c r="M470" s="33"/>
      <c r="N470" s="33"/>
      <c r="O470" s="33"/>
      <c r="P470" s="29"/>
      <c r="Q470" s="36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</row>
    <row r="471" spans="1:50" ht="12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L471" s="48"/>
      <c r="M471" s="33"/>
      <c r="N471" s="33"/>
      <c r="O471" s="33"/>
      <c r="P471" s="29"/>
      <c r="Q471" s="36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</row>
    <row r="472" spans="1:50" ht="12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L472" s="48"/>
      <c r="M472" s="33"/>
      <c r="N472" s="33"/>
      <c r="O472" s="33"/>
      <c r="P472" s="29"/>
      <c r="Q472" s="36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</row>
    <row r="473" spans="1:50" ht="12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L473" s="48"/>
      <c r="M473" s="33"/>
      <c r="N473" s="33"/>
      <c r="O473" s="33"/>
      <c r="P473" s="29"/>
      <c r="Q473" s="36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</row>
    <row r="474" spans="1:50" ht="12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L474" s="48"/>
      <c r="M474" s="33"/>
      <c r="N474" s="33"/>
      <c r="O474" s="33"/>
      <c r="P474" s="29"/>
      <c r="Q474" s="36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</row>
    <row r="475" spans="1:50" ht="12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L475" s="48"/>
      <c r="M475" s="33"/>
      <c r="N475" s="33"/>
      <c r="O475" s="33"/>
      <c r="P475" s="29"/>
      <c r="Q475" s="36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</row>
    <row r="476" spans="1:50" ht="12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L476" s="48"/>
      <c r="M476" s="33"/>
      <c r="N476" s="33"/>
      <c r="O476" s="33"/>
      <c r="P476" s="29"/>
      <c r="Q476" s="36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</row>
    <row r="477" spans="1:50" ht="12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L477" s="48"/>
      <c r="M477" s="33"/>
      <c r="N477" s="33"/>
      <c r="O477" s="33"/>
      <c r="P477" s="29"/>
      <c r="Q477" s="36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</row>
    <row r="478" spans="1:50" ht="12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L478" s="48"/>
      <c r="M478" s="33"/>
      <c r="N478" s="33"/>
      <c r="O478" s="33"/>
      <c r="P478" s="29"/>
      <c r="Q478" s="36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</row>
    <row r="479" spans="1:50" ht="12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L479" s="48"/>
      <c r="M479" s="33"/>
      <c r="N479" s="33"/>
      <c r="O479" s="33"/>
      <c r="P479" s="29"/>
      <c r="Q479" s="36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</row>
    <row r="480" spans="1:50" ht="12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L480" s="48"/>
      <c r="M480" s="33"/>
      <c r="N480" s="33"/>
      <c r="O480" s="33"/>
      <c r="P480" s="29"/>
      <c r="Q480" s="36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</row>
    <row r="481" spans="1:50" ht="12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L481" s="48"/>
      <c r="M481" s="33"/>
      <c r="N481" s="33"/>
      <c r="O481" s="33"/>
      <c r="P481" s="29"/>
      <c r="Q481" s="36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</row>
    <row r="482" spans="1:50" ht="12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L482" s="48"/>
      <c r="M482" s="33"/>
      <c r="N482" s="33"/>
      <c r="O482" s="33"/>
      <c r="P482" s="29"/>
      <c r="Q482" s="36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</row>
    <row r="483" spans="1:50" ht="12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L483" s="48"/>
      <c r="M483" s="33"/>
      <c r="N483" s="33"/>
      <c r="O483" s="33"/>
      <c r="P483" s="29"/>
      <c r="Q483" s="36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</row>
    <row r="484" spans="1:50" ht="12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L484" s="48"/>
      <c r="M484" s="33"/>
      <c r="N484" s="33"/>
      <c r="O484" s="33"/>
      <c r="P484" s="29"/>
      <c r="Q484" s="36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</row>
    <row r="485" spans="1:50" ht="12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L485" s="48"/>
      <c r="M485" s="33"/>
      <c r="N485" s="33"/>
      <c r="O485" s="33"/>
      <c r="P485" s="29"/>
      <c r="Q485" s="36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</row>
    <row r="486" spans="1:50" ht="12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L486" s="48"/>
      <c r="M486" s="33"/>
      <c r="N486" s="33"/>
      <c r="O486" s="33"/>
      <c r="P486" s="29"/>
      <c r="Q486" s="36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</row>
    <row r="487" spans="1:50" ht="12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L487" s="48"/>
      <c r="M487" s="33"/>
      <c r="N487" s="33"/>
      <c r="O487" s="33"/>
      <c r="P487" s="29"/>
      <c r="Q487" s="36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</row>
    <row r="488" spans="1:50" ht="12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L488" s="48"/>
      <c r="M488" s="33"/>
      <c r="N488" s="33"/>
      <c r="O488" s="33"/>
      <c r="P488" s="29"/>
      <c r="Q488" s="36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</row>
    <row r="489" spans="1:50" ht="12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L489" s="48"/>
      <c r="M489" s="33"/>
      <c r="N489" s="33"/>
      <c r="O489" s="33"/>
      <c r="P489" s="29"/>
      <c r="Q489" s="36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</row>
    <row r="490" spans="1:50" ht="12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L490" s="48"/>
      <c r="M490" s="33"/>
      <c r="N490" s="33"/>
      <c r="O490" s="33"/>
      <c r="P490" s="29"/>
      <c r="Q490" s="36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</row>
    <row r="491" spans="1:50" ht="12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L491" s="48"/>
      <c r="M491" s="33"/>
      <c r="N491" s="33"/>
      <c r="O491" s="33"/>
      <c r="P491" s="29"/>
      <c r="Q491" s="36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</row>
    <row r="492" spans="1:50" ht="12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L492" s="48"/>
      <c r="M492" s="33"/>
      <c r="N492" s="33"/>
      <c r="O492" s="33"/>
      <c r="P492" s="29"/>
      <c r="Q492" s="36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</row>
    <row r="493" spans="1:50" ht="12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L493" s="48"/>
      <c r="M493" s="33"/>
      <c r="N493" s="33"/>
      <c r="O493" s="33"/>
      <c r="P493" s="29"/>
      <c r="Q493" s="36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</row>
    <row r="494" spans="1:50" ht="12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L494" s="48"/>
      <c r="M494" s="33"/>
      <c r="N494" s="33"/>
      <c r="O494" s="33"/>
      <c r="P494" s="29"/>
      <c r="Q494" s="36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</row>
    <row r="495" spans="1:50" ht="12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L495" s="48"/>
      <c r="M495" s="33"/>
      <c r="N495" s="33"/>
      <c r="O495" s="33"/>
      <c r="P495" s="29"/>
      <c r="Q495" s="36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</row>
    <row r="496" spans="1:50" ht="12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L496" s="48"/>
      <c r="M496" s="33"/>
      <c r="N496" s="33"/>
      <c r="O496" s="33"/>
      <c r="P496" s="29"/>
      <c r="Q496" s="36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</row>
    <row r="497" spans="1:50" ht="1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L497" s="48"/>
      <c r="M497" s="33"/>
      <c r="N497" s="33"/>
      <c r="O497" s="33"/>
      <c r="P497" s="29"/>
      <c r="Q497" s="36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</row>
    <row r="498" spans="1:50" ht="12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L498" s="48"/>
      <c r="M498" s="33"/>
      <c r="N498" s="33"/>
      <c r="O498" s="33"/>
      <c r="P498" s="29"/>
      <c r="Q498" s="36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</row>
    <row r="499" spans="1:50" ht="12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L499" s="48"/>
      <c r="M499" s="33"/>
      <c r="N499" s="33"/>
      <c r="O499" s="33"/>
      <c r="P499" s="29"/>
      <c r="Q499" s="36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</row>
    <row r="500" spans="1:50" ht="12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L500" s="48"/>
      <c r="M500" s="33"/>
      <c r="N500" s="33"/>
      <c r="O500" s="33"/>
      <c r="P500" s="29"/>
      <c r="Q500" s="36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</row>
    <row r="501" spans="1:50" ht="12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L501" s="48"/>
      <c r="M501" s="33"/>
      <c r="N501" s="33"/>
      <c r="O501" s="33"/>
      <c r="P501" s="29"/>
      <c r="Q501" s="36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</row>
    <row r="502" spans="1:50" ht="12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L502" s="48"/>
      <c r="M502" s="33"/>
      <c r="N502" s="33"/>
      <c r="O502" s="33"/>
      <c r="P502" s="29"/>
      <c r="Q502" s="36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</row>
    <row r="503" spans="1:50" ht="12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L503" s="48"/>
      <c r="M503" s="33"/>
      <c r="N503" s="33"/>
      <c r="O503" s="33"/>
      <c r="P503" s="29"/>
      <c r="Q503" s="36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</row>
    <row r="504" spans="1:50" ht="12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L504" s="48"/>
      <c r="M504" s="33"/>
      <c r="N504" s="33"/>
      <c r="O504" s="33"/>
      <c r="P504" s="29"/>
      <c r="Q504" s="36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</row>
    <row r="505" spans="1:50" ht="12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L505" s="48"/>
      <c r="M505" s="33"/>
      <c r="N505" s="33"/>
      <c r="O505" s="33"/>
      <c r="P505" s="29"/>
      <c r="Q505" s="36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</row>
    <row r="506" spans="1:50" ht="12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L506" s="48"/>
      <c r="M506" s="33"/>
      <c r="N506" s="33"/>
      <c r="O506" s="33"/>
      <c r="P506" s="29"/>
      <c r="Q506" s="36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</row>
    <row r="507" spans="1:50" ht="12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L507" s="48"/>
      <c r="M507" s="33"/>
      <c r="N507" s="33"/>
      <c r="O507" s="33"/>
      <c r="P507" s="29"/>
      <c r="Q507" s="36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</row>
    <row r="508" spans="1:50" ht="12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L508" s="48"/>
      <c r="M508" s="33"/>
      <c r="N508" s="33"/>
      <c r="O508" s="33"/>
      <c r="P508" s="29"/>
      <c r="Q508" s="36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</row>
    <row r="509" spans="1:50" ht="12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L509" s="48"/>
      <c r="M509" s="33"/>
      <c r="N509" s="33"/>
      <c r="O509" s="33"/>
      <c r="P509" s="29"/>
      <c r="Q509" s="36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</row>
    <row r="510" spans="1:50" ht="12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L510" s="48"/>
      <c r="M510" s="33"/>
      <c r="N510" s="33"/>
      <c r="O510" s="33"/>
      <c r="P510" s="29"/>
      <c r="Q510" s="36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</row>
    <row r="511" spans="1:50" ht="12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L511" s="48"/>
      <c r="M511" s="33"/>
      <c r="N511" s="33"/>
      <c r="O511" s="33"/>
      <c r="P511" s="29"/>
      <c r="Q511" s="36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</row>
    <row r="512" spans="1:50" ht="12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L512" s="48"/>
      <c r="M512" s="33"/>
      <c r="N512" s="33"/>
      <c r="O512" s="33"/>
      <c r="P512" s="29"/>
      <c r="Q512" s="36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</row>
    <row r="513" spans="1:50" ht="12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L513" s="48"/>
      <c r="M513" s="33"/>
      <c r="N513" s="33"/>
      <c r="O513" s="33"/>
      <c r="P513" s="29"/>
      <c r="Q513" s="36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</row>
    <row r="514" spans="1:50" ht="12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L514" s="48"/>
      <c r="M514" s="33"/>
      <c r="N514" s="33"/>
      <c r="O514" s="33"/>
      <c r="P514" s="29"/>
      <c r="Q514" s="36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</row>
    <row r="515" spans="1:50" ht="12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L515" s="48"/>
      <c r="M515" s="33"/>
      <c r="N515" s="33"/>
      <c r="O515" s="33"/>
      <c r="P515" s="29"/>
      <c r="Q515" s="36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</row>
    <row r="516" spans="1:50" ht="12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L516" s="48"/>
      <c r="M516" s="33"/>
      <c r="N516" s="33"/>
      <c r="O516" s="33"/>
      <c r="P516" s="29"/>
      <c r="Q516" s="36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</row>
    <row r="517" spans="1:50" ht="12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L517" s="48"/>
      <c r="M517" s="33"/>
      <c r="N517" s="33"/>
      <c r="O517" s="33"/>
      <c r="P517" s="29"/>
      <c r="Q517" s="36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</row>
    <row r="518" spans="1:50" ht="12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L518" s="48"/>
      <c r="M518" s="33"/>
      <c r="N518" s="33"/>
      <c r="O518" s="33"/>
      <c r="P518" s="29"/>
      <c r="Q518" s="36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</row>
    <row r="519" spans="1:50" ht="12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L519" s="48"/>
      <c r="M519" s="33"/>
      <c r="N519" s="33"/>
      <c r="O519" s="33"/>
      <c r="P519" s="29"/>
      <c r="Q519" s="36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</row>
    <row r="520" spans="1:50" ht="12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L520" s="48"/>
      <c r="M520" s="33"/>
      <c r="N520" s="33"/>
      <c r="O520" s="33"/>
      <c r="P520" s="29"/>
      <c r="Q520" s="36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</row>
    <row r="521" spans="1:50" ht="12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L521" s="48"/>
      <c r="M521" s="33"/>
      <c r="N521" s="33"/>
      <c r="O521" s="33"/>
      <c r="P521" s="29"/>
      <c r="Q521" s="36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</row>
    <row r="522" spans="1:50" ht="12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L522" s="48"/>
      <c r="M522" s="33"/>
      <c r="N522" s="33"/>
      <c r="O522" s="33"/>
      <c r="P522" s="29"/>
      <c r="Q522" s="36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</row>
    <row r="523" spans="1:50" ht="12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L523" s="48"/>
      <c r="M523" s="33"/>
      <c r="N523" s="33"/>
      <c r="O523" s="33"/>
      <c r="P523" s="29"/>
      <c r="Q523" s="36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</row>
    <row r="524" spans="1:50" ht="12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L524" s="48"/>
      <c r="M524" s="33"/>
      <c r="N524" s="33"/>
      <c r="O524" s="33"/>
      <c r="P524" s="29"/>
      <c r="Q524" s="36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</row>
    <row r="525" spans="1:50" ht="12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L525" s="48"/>
      <c r="M525" s="33"/>
      <c r="N525" s="33"/>
      <c r="O525" s="33"/>
      <c r="P525" s="29"/>
      <c r="Q525" s="36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</row>
    <row r="526" spans="1:50" ht="12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L526" s="48"/>
      <c r="M526" s="33"/>
      <c r="N526" s="33"/>
      <c r="O526" s="33"/>
      <c r="P526" s="29"/>
      <c r="Q526" s="36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</row>
    <row r="527" spans="1:50" ht="12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L527" s="48"/>
      <c r="M527" s="33"/>
      <c r="N527" s="33"/>
      <c r="O527" s="33"/>
      <c r="P527" s="29"/>
      <c r="Q527" s="36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</row>
    <row r="528" spans="1:50" ht="12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L528" s="48"/>
      <c r="M528" s="33"/>
      <c r="N528" s="33"/>
      <c r="O528" s="33"/>
      <c r="P528" s="29"/>
      <c r="Q528" s="36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</row>
    <row r="529" spans="1:50" ht="12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L529" s="48"/>
      <c r="M529" s="33"/>
      <c r="N529" s="33"/>
      <c r="O529" s="33"/>
      <c r="P529" s="29"/>
      <c r="Q529" s="36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</row>
    <row r="530" spans="1:50" ht="12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L530" s="48"/>
      <c r="M530" s="33"/>
      <c r="N530" s="33"/>
      <c r="O530" s="33"/>
      <c r="P530" s="29"/>
      <c r="Q530" s="36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</row>
    <row r="531" spans="1:50" ht="12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L531" s="48"/>
      <c r="M531" s="33"/>
      <c r="N531" s="33"/>
      <c r="O531" s="33"/>
      <c r="P531" s="29"/>
      <c r="Q531" s="36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</row>
    <row r="532" spans="1:50" ht="12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L532" s="48"/>
      <c r="M532" s="33"/>
      <c r="N532" s="33"/>
      <c r="O532" s="33"/>
      <c r="P532" s="29"/>
      <c r="Q532" s="36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</row>
    <row r="533" spans="1:50" ht="1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L533" s="48"/>
      <c r="M533" s="33"/>
      <c r="N533" s="33"/>
      <c r="O533" s="33"/>
      <c r="P533" s="29"/>
      <c r="Q533" s="36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</row>
    <row r="534" spans="1:50" ht="12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L534" s="48"/>
      <c r="M534" s="33"/>
      <c r="N534" s="33"/>
      <c r="O534" s="33"/>
      <c r="P534" s="29"/>
      <c r="Q534" s="36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</row>
    <row r="535" spans="1:50" ht="12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L535" s="48"/>
      <c r="M535" s="33"/>
      <c r="N535" s="33"/>
      <c r="O535" s="33"/>
      <c r="P535" s="29"/>
      <c r="Q535" s="36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</row>
    <row r="536" spans="1:50" ht="12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L536" s="48"/>
      <c r="M536" s="33"/>
      <c r="N536" s="33"/>
      <c r="O536" s="33"/>
      <c r="P536" s="29"/>
      <c r="Q536" s="36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</row>
    <row r="537" spans="1:50" ht="12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L537" s="48"/>
      <c r="M537" s="33"/>
      <c r="N537" s="33"/>
      <c r="O537" s="33"/>
      <c r="P537" s="29"/>
      <c r="Q537" s="36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</row>
    <row r="538" spans="1:50" ht="12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L538" s="48"/>
      <c r="M538" s="33"/>
      <c r="N538" s="33"/>
      <c r="O538" s="33"/>
      <c r="P538" s="29"/>
      <c r="Q538" s="36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</row>
    <row r="539" spans="1:50" ht="12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L539" s="48"/>
      <c r="M539" s="33"/>
      <c r="N539" s="33"/>
      <c r="O539" s="33"/>
      <c r="P539" s="29"/>
      <c r="Q539" s="36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</row>
    <row r="540" spans="1:50" ht="12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L540" s="48"/>
      <c r="M540" s="33"/>
      <c r="N540" s="33"/>
      <c r="O540" s="33"/>
      <c r="P540" s="29"/>
      <c r="Q540" s="36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</row>
    <row r="541" spans="1:50" ht="12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L541" s="48"/>
      <c r="M541" s="33"/>
      <c r="N541" s="33"/>
      <c r="O541" s="33"/>
      <c r="P541" s="29"/>
      <c r="Q541" s="36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</row>
    <row r="542" spans="1:50" ht="12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L542" s="48"/>
      <c r="M542" s="33"/>
      <c r="N542" s="33"/>
      <c r="O542" s="33"/>
      <c r="P542" s="29"/>
      <c r="Q542" s="36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</row>
    <row r="543" spans="1:50" ht="12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L543" s="48"/>
      <c r="M543" s="33"/>
      <c r="N543" s="33"/>
      <c r="O543" s="33"/>
      <c r="P543" s="29"/>
      <c r="Q543" s="36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</row>
    <row r="544" spans="1:50" ht="12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L544" s="48"/>
      <c r="M544" s="33"/>
      <c r="N544" s="33"/>
      <c r="O544" s="33"/>
      <c r="P544" s="29"/>
      <c r="Q544" s="36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</row>
    <row r="545" spans="1:50" ht="12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L545" s="48"/>
      <c r="M545" s="33"/>
      <c r="N545" s="33"/>
      <c r="O545" s="33"/>
      <c r="P545" s="29"/>
      <c r="Q545" s="36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</row>
    <row r="546" spans="1:50" ht="12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L546" s="48"/>
      <c r="M546" s="33"/>
      <c r="N546" s="33"/>
      <c r="O546" s="33"/>
      <c r="P546" s="29"/>
      <c r="Q546" s="36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</row>
    <row r="547" spans="1:50" ht="12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L547" s="48"/>
      <c r="M547" s="33"/>
      <c r="N547" s="33"/>
      <c r="O547" s="33"/>
      <c r="P547" s="29"/>
      <c r="Q547" s="36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</row>
    <row r="548" spans="1:50" ht="12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L548" s="48"/>
      <c r="M548" s="33"/>
      <c r="N548" s="33"/>
      <c r="O548" s="33"/>
      <c r="P548" s="29"/>
      <c r="Q548" s="36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</row>
    <row r="549" spans="1:50" ht="1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L549" s="48"/>
      <c r="M549" s="33"/>
      <c r="N549" s="33"/>
      <c r="O549" s="33"/>
      <c r="P549" s="29"/>
      <c r="Q549" s="36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</row>
    <row r="550" spans="1:50" ht="12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L550" s="48"/>
      <c r="M550" s="33"/>
      <c r="N550" s="33"/>
      <c r="O550" s="33"/>
      <c r="P550" s="29"/>
      <c r="Q550" s="36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</row>
    <row r="551" spans="1:50" ht="12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L551" s="48"/>
      <c r="M551" s="33"/>
      <c r="N551" s="33"/>
      <c r="O551" s="33"/>
      <c r="P551" s="29"/>
      <c r="Q551" s="36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</row>
    <row r="552" spans="1:50" ht="12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L552" s="48"/>
      <c r="M552" s="33"/>
      <c r="N552" s="33"/>
      <c r="O552" s="33"/>
      <c r="P552" s="29"/>
      <c r="Q552" s="36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</row>
    <row r="553" spans="1:50" ht="12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L553" s="48"/>
      <c r="M553" s="33"/>
      <c r="N553" s="33"/>
      <c r="O553" s="33"/>
      <c r="P553" s="29"/>
      <c r="Q553" s="36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</row>
    <row r="554" spans="1:50" ht="12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L554" s="48"/>
      <c r="M554" s="33"/>
      <c r="N554" s="33"/>
      <c r="O554" s="33"/>
      <c r="P554" s="29"/>
      <c r="Q554" s="36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</row>
    <row r="555" spans="1:50" ht="1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L555" s="48"/>
      <c r="M555" s="33"/>
      <c r="N555" s="33"/>
      <c r="O555" s="33"/>
      <c r="P555" s="29"/>
      <c r="Q555" s="36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</row>
    <row r="556" spans="1:50" ht="12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L556" s="48"/>
      <c r="M556" s="33"/>
      <c r="N556" s="33"/>
      <c r="O556" s="33"/>
      <c r="P556" s="29"/>
      <c r="Q556" s="36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</row>
    <row r="557" spans="1:50" ht="12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L557" s="48"/>
      <c r="M557" s="33"/>
      <c r="N557" s="33"/>
      <c r="O557" s="33"/>
      <c r="P557" s="29"/>
      <c r="Q557" s="36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</row>
    <row r="558" spans="1:50" ht="12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L558" s="48"/>
      <c r="M558" s="33"/>
      <c r="N558" s="33"/>
      <c r="O558" s="33"/>
      <c r="P558" s="29"/>
      <c r="Q558" s="36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</row>
    <row r="559" spans="1:50" ht="12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L559" s="48"/>
      <c r="M559" s="33"/>
      <c r="N559" s="33"/>
      <c r="O559" s="33"/>
      <c r="P559" s="29"/>
      <c r="Q559" s="36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</row>
    <row r="560" spans="1:50" ht="12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L560" s="48"/>
      <c r="M560" s="33"/>
      <c r="N560" s="33"/>
      <c r="O560" s="33"/>
      <c r="P560" s="29"/>
      <c r="Q560" s="36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</row>
    <row r="561" spans="1:50" ht="1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L561" s="48"/>
      <c r="M561" s="33"/>
      <c r="N561" s="33"/>
      <c r="O561" s="33"/>
      <c r="P561" s="29"/>
      <c r="Q561" s="36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</row>
    <row r="562" spans="1:50" ht="12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L562" s="48"/>
      <c r="M562" s="33"/>
      <c r="N562" s="33"/>
      <c r="O562" s="33"/>
      <c r="P562" s="29"/>
      <c r="Q562" s="36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</row>
    <row r="563" spans="1:50" ht="12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L563" s="48"/>
      <c r="M563" s="33"/>
      <c r="N563" s="33"/>
      <c r="O563" s="33"/>
      <c r="P563" s="29"/>
      <c r="Q563" s="36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</row>
    <row r="564" spans="1:50" ht="12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L564" s="48"/>
      <c r="M564" s="33"/>
      <c r="N564" s="33"/>
      <c r="O564" s="33"/>
      <c r="P564" s="29"/>
      <c r="Q564" s="36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</row>
    <row r="565" spans="1:50" ht="12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L565" s="48"/>
      <c r="M565" s="33"/>
      <c r="N565" s="33"/>
      <c r="O565" s="33"/>
      <c r="P565" s="29"/>
      <c r="Q565" s="36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</row>
    <row r="566" spans="1:50" ht="12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L566" s="48"/>
      <c r="M566" s="33"/>
      <c r="N566" s="33"/>
      <c r="O566" s="33"/>
      <c r="P566" s="29"/>
      <c r="Q566" s="36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</row>
    <row r="567" spans="1:50" ht="12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L567" s="48"/>
      <c r="M567" s="33"/>
      <c r="N567" s="33"/>
      <c r="O567" s="33"/>
      <c r="P567" s="29"/>
      <c r="Q567" s="36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</row>
    <row r="568" spans="1:50" ht="12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L568" s="48"/>
      <c r="M568" s="33"/>
      <c r="N568" s="33"/>
      <c r="O568" s="33"/>
      <c r="P568" s="29"/>
      <c r="Q568" s="36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</row>
    <row r="569" spans="1:50" ht="12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L569" s="48"/>
      <c r="M569" s="33"/>
      <c r="N569" s="33"/>
      <c r="O569" s="33"/>
      <c r="P569" s="29"/>
      <c r="Q569" s="36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</row>
    <row r="570" spans="1:50" ht="12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L570" s="48"/>
      <c r="M570" s="33"/>
      <c r="N570" s="33"/>
      <c r="O570" s="33"/>
      <c r="P570" s="29"/>
      <c r="Q570" s="36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</row>
    <row r="571" spans="1:50" ht="12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L571" s="48"/>
      <c r="M571" s="33"/>
      <c r="N571" s="33"/>
      <c r="O571" s="33"/>
      <c r="P571" s="29"/>
      <c r="Q571" s="36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</row>
    <row r="572" spans="1:50" ht="1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L572" s="48"/>
      <c r="M572" s="33"/>
      <c r="N572" s="33"/>
      <c r="O572" s="33"/>
      <c r="P572" s="29"/>
      <c r="Q572" s="36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</row>
    <row r="573" spans="1:50" ht="12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L573" s="48"/>
      <c r="M573" s="33"/>
      <c r="N573" s="33"/>
      <c r="O573" s="33"/>
      <c r="P573" s="29"/>
      <c r="Q573" s="36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</row>
    <row r="574" spans="1:50" ht="12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L574" s="48"/>
      <c r="M574" s="33"/>
      <c r="N574" s="33"/>
      <c r="O574" s="33"/>
      <c r="P574" s="29"/>
      <c r="Q574" s="36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</row>
    <row r="575" spans="1:50" ht="12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L575" s="48"/>
      <c r="M575" s="33"/>
      <c r="N575" s="33"/>
      <c r="O575" s="33"/>
      <c r="P575" s="29"/>
      <c r="Q575" s="36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</row>
    <row r="576" spans="1:50" ht="12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L576" s="48"/>
      <c r="M576" s="33"/>
      <c r="N576" s="33"/>
      <c r="O576" s="33"/>
      <c r="P576" s="29"/>
      <c r="Q576" s="36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</row>
    <row r="577" spans="1:50" ht="12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L577" s="48"/>
      <c r="M577" s="33"/>
      <c r="N577" s="33"/>
      <c r="O577" s="33"/>
      <c r="P577" s="29"/>
      <c r="Q577" s="36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</row>
    <row r="578" spans="1:50" ht="12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L578" s="48"/>
      <c r="M578" s="33"/>
      <c r="N578" s="33"/>
      <c r="O578" s="33"/>
      <c r="P578" s="29"/>
      <c r="Q578" s="36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</row>
    <row r="579" spans="1:50" ht="12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L579" s="48"/>
      <c r="M579" s="33"/>
      <c r="N579" s="33"/>
      <c r="O579" s="33"/>
      <c r="P579" s="29"/>
      <c r="Q579" s="36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</row>
    <row r="580" spans="1:50" ht="12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L580" s="48"/>
      <c r="M580" s="33"/>
      <c r="N580" s="33"/>
      <c r="O580" s="33"/>
      <c r="P580" s="29"/>
      <c r="Q580" s="36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</row>
    <row r="581" spans="1:50" ht="12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L581" s="48"/>
      <c r="M581" s="33"/>
      <c r="N581" s="33"/>
      <c r="O581" s="33"/>
      <c r="P581" s="29"/>
      <c r="Q581" s="36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</row>
    <row r="582" spans="1:50" ht="1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L582" s="48"/>
      <c r="M582" s="33"/>
      <c r="N582" s="33"/>
      <c r="O582" s="33"/>
      <c r="P582" s="29"/>
      <c r="Q582" s="36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</row>
    <row r="583" spans="1:50" ht="12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L583" s="48"/>
      <c r="M583" s="33"/>
      <c r="N583" s="33"/>
      <c r="O583" s="33"/>
      <c r="P583" s="29"/>
      <c r="Q583" s="36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</row>
    <row r="584" spans="1:50" ht="12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L584" s="48"/>
      <c r="M584" s="33"/>
      <c r="N584" s="33"/>
      <c r="O584" s="33"/>
      <c r="P584" s="29"/>
      <c r="Q584" s="36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</row>
    <row r="585" spans="1:50" ht="12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L585" s="48"/>
      <c r="M585" s="33"/>
      <c r="N585" s="33"/>
      <c r="O585" s="33"/>
      <c r="P585" s="29"/>
      <c r="Q585" s="36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</row>
    <row r="586" spans="1:50" ht="12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L586" s="48"/>
      <c r="M586" s="33"/>
      <c r="N586" s="33"/>
      <c r="O586" s="33"/>
      <c r="P586" s="29"/>
      <c r="Q586" s="36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</row>
    <row r="587" spans="1:50" ht="12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L587" s="48"/>
      <c r="M587" s="33"/>
      <c r="N587" s="33"/>
      <c r="O587" s="33"/>
      <c r="P587" s="29"/>
      <c r="Q587" s="36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</row>
    <row r="588" spans="1:50" ht="12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L588" s="48"/>
      <c r="M588" s="33"/>
      <c r="N588" s="33"/>
      <c r="O588" s="33"/>
      <c r="P588" s="29"/>
      <c r="Q588" s="36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</row>
    <row r="589" spans="1:50" ht="12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L589" s="48"/>
      <c r="M589" s="33"/>
      <c r="N589" s="33"/>
      <c r="O589" s="33"/>
      <c r="P589" s="29"/>
      <c r="Q589" s="36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</row>
    <row r="590" spans="1:50" ht="12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L590" s="48"/>
      <c r="M590" s="33"/>
      <c r="N590" s="33"/>
      <c r="O590" s="33"/>
      <c r="P590" s="29"/>
      <c r="Q590" s="36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</row>
    <row r="591" spans="1:50" ht="12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L591" s="48"/>
      <c r="M591" s="33"/>
      <c r="N591" s="33"/>
      <c r="O591" s="33"/>
      <c r="P591" s="29"/>
      <c r="Q591" s="36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</row>
    <row r="592" spans="1:50" ht="12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L592" s="48"/>
      <c r="M592" s="33"/>
      <c r="N592" s="33"/>
      <c r="O592" s="33"/>
      <c r="P592" s="29"/>
      <c r="Q592" s="36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</row>
    <row r="593" spans="1:50" ht="12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L593" s="48"/>
      <c r="M593" s="33"/>
      <c r="N593" s="33"/>
      <c r="O593" s="33"/>
      <c r="P593" s="29"/>
      <c r="Q593" s="36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</row>
    <row r="594" spans="1:50" ht="12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L594" s="48"/>
      <c r="M594" s="33"/>
      <c r="N594" s="33"/>
      <c r="O594" s="33"/>
      <c r="P594" s="29"/>
      <c r="Q594" s="36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</row>
    <row r="595" spans="1:50" ht="12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L595" s="48"/>
      <c r="M595" s="33"/>
      <c r="N595" s="33"/>
      <c r="O595" s="33"/>
      <c r="P595" s="29"/>
      <c r="Q595" s="36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</row>
    <row r="596" spans="1:50" ht="12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L596" s="48"/>
      <c r="M596" s="33"/>
      <c r="N596" s="33"/>
      <c r="O596" s="33"/>
      <c r="P596" s="29"/>
      <c r="Q596" s="36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</row>
    <row r="597" spans="1:50" ht="12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L597" s="48"/>
      <c r="M597" s="33"/>
      <c r="N597" s="33"/>
      <c r="O597" s="33"/>
      <c r="P597" s="29"/>
      <c r="Q597" s="36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</row>
    <row r="598" spans="1:50" ht="12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L598" s="48"/>
      <c r="M598" s="33"/>
      <c r="N598" s="33"/>
      <c r="O598" s="33"/>
      <c r="P598" s="29"/>
      <c r="Q598" s="36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</row>
    <row r="599" spans="1:50" ht="12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L599" s="48"/>
      <c r="M599" s="33"/>
      <c r="N599" s="33"/>
      <c r="O599" s="33"/>
      <c r="P599" s="29"/>
      <c r="Q599" s="36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</row>
    <row r="600" spans="1:50" ht="12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L600" s="48"/>
      <c r="M600" s="33"/>
      <c r="N600" s="33"/>
      <c r="O600" s="33"/>
      <c r="P600" s="29"/>
      <c r="Q600" s="36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</row>
    <row r="601" spans="1:50" ht="12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L601" s="48"/>
      <c r="M601" s="33"/>
      <c r="N601" s="33"/>
      <c r="O601" s="33"/>
      <c r="P601" s="29"/>
      <c r="Q601" s="36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</row>
    <row r="602" spans="1:50" ht="12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L602" s="48"/>
      <c r="M602" s="33"/>
      <c r="N602" s="33"/>
      <c r="O602" s="33"/>
      <c r="P602" s="29"/>
      <c r="Q602" s="36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</row>
    <row r="603" spans="1:50" ht="12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L603" s="48"/>
      <c r="M603" s="33"/>
      <c r="N603" s="33"/>
      <c r="O603" s="33"/>
      <c r="P603" s="29"/>
      <c r="Q603" s="36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</row>
    <row r="604" spans="1:50" ht="12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L604" s="48"/>
      <c r="M604" s="33"/>
      <c r="N604" s="33"/>
      <c r="O604" s="33"/>
      <c r="P604" s="29"/>
      <c r="Q604" s="36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</row>
    <row r="605" spans="1:50" ht="12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L605" s="48"/>
      <c r="M605" s="33"/>
      <c r="N605" s="33"/>
      <c r="O605" s="33"/>
      <c r="P605" s="29"/>
      <c r="Q605" s="36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</row>
    <row r="606" spans="1:50" ht="12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L606" s="48"/>
      <c r="M606" s="33"/>
      <c r="N606" s="33"/>
      <c r="O606" s="33"/>
      <c r="P606" s="29"/>
      <c r="Q606" s="36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</row>
    <row r="607" spans="1:50" ht="12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L607" s="48"/>
      <c r="M607" s="33"/>
      <c r="N607" s="33"/>
      <c r="O607" s="33"/>
      <c r="P607" s="29"/>
      <c r="Q607" s="36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</row>
    <row r="608" spans="1:50" ht="12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L608" s="48"/>
      <c r="M608" s="33"/>
      <c r="N608" s="33"/>
      <c r="O608" s="33"/>
      <c r="P608" s="29"/>
      <c r="Q608" s="36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</row>
    <row r="609" spans="1:50" ht="12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L609" s="48"/>
      <c r="M609" s="33"/>
      <c r="N609" s="33"/>
      <c r="O609" s="33"/>
      <c r="P609" s="29"/>
      <c r="Q609" s="36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</row>
    <row r="610" spans="1:50" ht="12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L610" s="48"/>
      <c r="M610" s="33"/>
      <c r="N610" s="33"/>
      <c r="O610" s="33"/>
      <c r="P610" s="29"/>
      <c r="Q610" s="36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</row>
    <row r="611" spans="1:50" ht="12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L611" s="48"/>
      <c r="M611" s="33"/>
      <c r="N611" s="33"/>
      <c r="O611" s="33"/>
      <c r="P611" s="29"/>
      <c r="Q611" s="36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</row>
    <row r="612" spans="1:50" ht="12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L612" s="48"/>
      <c r="M612" s="33"/>
      <c r="N612" s="33"/>
      <c r="O612" s="33"/>
      <c r="P612" s="29"/>
      <c r="Q612" s="36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</row>
    <row r="613" spans="1:50" ht="12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L613" s="48"/>
      <c r="M613" s="33"/>
      <c r="N613" s="33"/>
      <c r="O613" s="33"/>
      <c r="P613" s="29"/>
      <c r="Q613" s="36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</row>
    <row r="614" spans="1:50" ht="12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L614" s="48"/>
      <c r="M614" s="33"/>
      <c r="N614" s="33"/>
      <c r="O614" s="33"/>
      <c r="P614" s="29"/>
      <c r="Q614" s="36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</row>
    <row r="615" spans="1:50" ht="12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L615" s="48"/>
      <c r="M615" s="33"/>
      <c r="N615" s="33"/>
      <c r="O615" s="33"/>
      <c r="P615" s="29"/>
      <c r="Q615" s="36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</row>
    <row r="616" spans="1:50" ht="12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L616" s="48"/>
      <c r="M616" s="33"/>
      <c r="N616" s="33"/>
      <c r="O616" s="33"/>
      <c r="P616" s="29"/>
      <c r="Q616" s="36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</row>
    <row r="617" spans="1:50" ht="12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L617" s="48"/>
      <c r="M617" s="33"/>
      <c r="N617" s="33"/>
      <c r="O617" s="33"/>
      <c r="P617" s="29"/>
      <c r="Q617" s="36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</row>
    <row r="618" spans="1:50" ht="12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L618" s="48"/>
      <c r="M618" s="33"/>
      <c r="N618" s="33"/>
      <c r="O618" s="33"/>
      <c r="P618" s="29"/>
      <c r="Q618" s="36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</row>
    <row r="619" spans="1:50" ht="12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L619" s="48"/>
      <c r="M619" s="33"/>
      <c r="N619" s="33"/>
      <c r="O619" s="33"/>
      <c r="P619" s="29"/>
      <c r="Q619" s="36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</row>
    <row r="620" spans="1:50" ht="12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L620" s="48"/>
      <c r="M620" s="33"/>
      <c r="N620" s="33"/>
      <c r="O620" s="33"/>
      <c r="P620" s="29"/>
      <c r="Q620" s="36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</row>
    <row r="621" spans="1:50" ht="12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L621" s="48"/>
      <c r="M621" s="33"/>
      <c r="N621" s="33"/>
      <c r="O621" s="33"/>
      <c r="P621" s="29"/>
      <c r="Q621" s="36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</row>
    <row r="622" spans="1:50" ht="12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L622" s="48"/>
      <c r="M622" s="33"/>
      <c r="N622" s="33"/>
      <c r="O622" s="33"/>
      <c r="P622" s="29"/>
      <c r="Q622" s="36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</row>
    <row r="623" spans="1:50" ht="12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L623" s="48"/>
      <c r="M623" s="33"/>
      <c r="N623" s="33"/>
      <c r="O623" s="33"/>
      <c r="P623" s="29"/>
      <c r="Q623" s="36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</row>
    <row r="624" spans="1:50" ht="12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L624" s="48"/>
      <c r="M624" s="33"/>
      <c r="N624" s="33"/>
      <c r="O624" s="33"/>
      <c r="P624" s="29"/>
      <c r="Q624" s="36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</row>
    <row r="625" spans="1:50" ht="12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L625" s="48"/>
      <c r="M625" s="33"/>
      <c r="N625" s="33"/>
      <c r="O625" s="33"/>
      <c r="P625" s="29"/>
      <c r="Q625" s="36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</row>
    <row r="626" spans="1:50" ht="12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L626" s="48"/>
      <c r="M626" s="33"/>
      <c r="N626" s="33"/>
      <c r="O626" s="33"/>
      <c r="P626" s="29"/>
      <c r="Q626" s="36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</row>
    <row r="627" spans="1:50" ht="12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L627" s="48"/>
      <c r="M627" s="33"/>
      <c r="N627" s="33"/>
      <c r="O627" s="33"/>
      <c r="P627" s="29"/>
      <c r="Q627" s="36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</row>
    <row r="628" spans="1:50" ht="12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L628" s="48"/>
      <c r="M628" s="33"/>
      <c r="N628" s="33"/>
      <c r="O628" s="33"/>
      <c r="P628" s="29"/>
      <c r="Q628" s="36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</row>
    <row r="629" spans="1:50" ht="12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L629" s="48"/>
      <c r="M629" s="33"/>
      <c r="N629" s="33"/>
      <c r="O629" s="33"/>
      <c r="P629" s="29"/>
      <c r="Q629" s="36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</row>
    <row r="630" spans="1:50" ht="12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L630" s="48"/>
      <c r="M630" s="33"/>
      <c r="N630" s="33"/>
      <c r="O630" s="33"/>
      <c r="P630" s="29"/>
      <c r="Q630" s="36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</row>
    <row r="631" spans="1:50" ht="12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L631" s="48"/>
      <c r="M631" s="33"/>
      <c r="N631" s="33"/>
      <c r="O631" s="33"/>
      <c r="P631" s="29"/>
      <c r="Q631" s="36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</row>
    <row r="632" spans="1:50" ht="12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L632" s="48"/>
      <c r="M632" s="33"/>
      <c r="N632" s="33"/>
      <c r="O632" s="33"/>
      <c r="P632" s="29"/>
      <c r="Q632" s="36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</row>
    <row r="633" spans="1:50" ht="12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L633" s="48"/>
      <c r="M633" s="33"/>
      <c r="N633" s="33"/>
      <c r="O633" s="33"/>
      <c r="P633" s="29"/>
      <c r="Q633" s="36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</row>
    <row r="634" spans="1:50" ht="12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L634" s="48"/>
      <c r="M634" s="33"/>
      <c r="N634" s="33"/>
      <c r="O634" s="33"/>
      <c r="P634" s="29"/>
      <c r="Q634" s="36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</row>
    <row r="635" spans="1:50" ht="12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L635" s="48"/>
      <c r="M635" s="33"/>
      <c r="N635" s="33"/>
      <c r="O635" s="33"/>
      <c r="P635" s="29"/>
      <c r="Q635" s="36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</row>
    <row r="636" spans="1:50" ht="12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L636" s="48"/>
      <c r="M636" s="33"/>
      <c r="N636" s="33"/>
      <c r="O636" s="33"/>
      <c r="P636" s="29"/>
      <c r="Q636" s="36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</row>
    <row r="637" spans="1:50" ht="12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L637" s="48"/>
      <c r="M637" s="33"/>
      <c r="N637" s="33"/>
      <c r="O637" s="33"/>
      <c r="P637" s="29"/>
      <c r="Q637" s="36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</row>
    <row r="638" spans="1:50" ht="12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L638" s="48"/>
      <c r="M638" s="33"/>
      <c r="N638" s="33"/>
      <c r="O638" s="33"/>
      <c r="P638" s="29"/>
      <c r="Q638" s="36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</row>
    <row r="639" spans="1:50" ht="12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L639" s="48"/>
      <c r="M639" s="33"/>
      <c r="N639" s="33"/>
      <c r="O639" s="33"/>
      <c r="P639" s="29"/>
      <c r="Q639" s="36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</row>
    <row r="640" spans="1:50" ht="12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L640" s="48"/>
      <c r="M640" s="33"/>
      <c r="N640" s="33"/>
      <c r="O640" s="33"/>
      <c r="P640" s="29"/>
      <c r="Q640" s="36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</row>
    <row r="641" spans="1:50" ht="12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L641" s="48"/>
      <c r="M641" s="33"/>
      <c r="N641" s="33"/>
      <c r="O641" s="33"/>
      <c r="P641" s="29"/>
      <c r="Q641" s="36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</row>
    <row r="642" spans="1:50" ht="1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L642" s="48"/>
      <c r="M642" s="33"/>
      <c r="N642" s="33"/>
      <c r="O642" s="33"/>
      <c r="P642" s="29"/>
      <c r="Q642" s="36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</row>
    <row r="643" spans="1:50" ht="12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L643" s="48"/>
      <c r="M643" s="33"/>
      <c r="N643" s="33"/>
      <c r="O643" s="33"/>
      <c r="P643" s="29"/>
      <c r="Q643" s="36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</row>
    <row r="644" spans="1:50" ht="12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L644" s="48"/>
      <c r="M644" s="33"/>
      <c r="N644" s="33"/>
      <c r="O644" s="33"/>
      <c r="P644" s="29"/>
      <c r="Q644" s="36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</row>
    <row r="645" spans="1:50" ht="12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L645" s="48"/>
      <c r="M645" s="33"/>
      <c r="N645" s="33"/>
      <c r="O645" s="33"/>
      <c r="P645" s="29"/>
      <c r="Q645" s="36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</row>
    <row r="646" spans="1:50" ht="12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L646" s="48"/>
      <c r="M646" s="33"/>
      <c r="N646" s="33"/>
      <c r="O646" s="33"/>
      <c r="P646" s="29"/>
      <c r="Q646" s="36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</row>
    <row r="647" spans="1:50" ht="12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L647" s="48"/>
      <c r="M647" s="33"/>
      <c r="N647" s="33"/>
      <c r="O647" s="33"/>
      <c r="P647" s="29"/>
      <c r="Q647" s="36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</row>
    <row r="648" spans="1:50" ht="12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L648" s="48"/>
      <c r="M648" s="33"/>
      <c r="N648" s="33"/>
      <c r="O648" s="33"/>
      <c r="P648" s="29"/>
      <c r="Q648" s="36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</row>
    <row r="649" spans="1:50" ht="12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L649" s="48"/>
      <c r="M649" s="33"/>
      <c r="N649" s="33"/>
      <c r="O649" s="33"/>
      <c r="P649" s="29"/>
      <c r="Q649" s="36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</row>
    <row r="650" spans="1:50" ht="12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L650" s="48"/>
      <c r="M650" s="33"/>
      <c r="N650" s="33"/>
      <c r="O650" s="33"/>
      <c r="P650" s="29"/>
      <c r="Q650" s="36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</row>
    <row r="651" spans="1:50" ht="12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L651" s="48"/>
      <c r="M651" s="33"/>
      <c r="N651" s="33"/>
      <c r="O651" s="33"/>
      <c r="P651" s="29"/>
      <c r="Q651" s="36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</row>
    <row r="652" spans="1:50" ht="12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L652" s="48"/>
      <c r="M652" s="33"/>
      <c r="N652" s="33"/>
      <c r="O652" s="33"/>
      <c r="P652" s="29"/>
      <c r="Q652" s="36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</row>
    <row r="653" spans="1:50" ht="12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L653" s="48"/>
      <c r="M653" s="33"/>
      <c r="N653" s="33"/>
      <c r="O653" s="33"/>
      <c r="P653" s="29"/>
      <c r="Q653" s="36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</row>
    <row r="654" spans="1:50" ht="12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L654" s="48"/>
      <c r="M654" s="33"/>
      <c r="N654" s="33"/>
      <c r="O654" s="33"/>
      <c r="P654" s="29"/>
      <c r="Q654" s="36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</row>
    <row r="655" spans="1:50" ht="12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L655" s="48"/>
      <c r="M655" s="33"/>
      <c r="N655" s="33"/>
      <c r="O655" s="33"/>
      <c r="P655" s="29"/>
      <c r="Q655" s="36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</row>
    <row r="656" spans="1:50" ht="12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L656" s="48"/>
      <c r="M656" s="33"/>
      <c r="N656" s="33"/>
      <c r="O656" s="33"/>
      <c r="P656" s="29"/>
      <c r="Q656" s="36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</row>
    <row r="657" spans="1:50" ht="12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L657" s="48"/>
      <c r="M657" s="33"/>
      <c r="N657" s="33"/>
      <c r="O657" s="33"/>
      <c r="P657" s="29"/>
      <c r="Q657" s="36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</row>
    <row r="658" spans="1:50" ht="12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L658" s="48"/>
      <c r="M658" s="33"/>
      <c r="N658" s="33"/>
      <c r="O658" s="33"/>
      <c r="P658" s="29"/>
      <c r="Q658" s="36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</row>
    <row r="659" spans="1:50" ht="12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L659" s="48"/>
      <c r="M659" s="33"/>
      <c r="N659" s="33"/>
      <c r="O659" s="33"/>
      <c r="P659" s="29"/>
      <c r="Q659" s="36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</row>
    <row r="660" spans="1:50" ht="12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L660" s="48"/>
      <c r="M660" s="33"/>
      <c r="N660" s="33"/>
      <c r="O660" s="33"/>
      <c r="P660" s="29"/>
      <c r="Q660" s="36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</row>
    <row r="661" spans="1:50" ht="12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L661" s="48"/>
      <c r="M661" s="33"/>
      <c r="N661" s="33"/>
      <c r="O661" s="33"/>
      <c r="P661" s="29"/>
      <c r="Q661" s="36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</row>
    <row r="662" spans="1:50" ht="12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L662" s="48"/>
      <c r="M662" s="33"/>
      <c r="N662" s="33"/>
      <c r="O662" s="33"/>
      <c r="P662" s="29"/>
      <c r="Q662" s="36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</row>
    <row r="663" spans="1:50" ht="12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L663" s="48"/>
      <c r="M663" s="33"/>
      <c r="N663" s="33"/>
      <c r="O663" s="33"/>
      <c r="P663" s="29"/>
      <c r="Q663" s="36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</row>
    <row r="664" spans="1:50" ht="12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L664" s="48"/>
      <c r="M664" s="33"/>
      <c r="N664" s="33"/>
      <c r="O664" s="33"/>
      <c r="P664" s="29"/>
      <c r="Q664" s="36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</row>
    <row r="665" spans="1:50" ht="12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L665" s="48"/>
      <c r="M665" s="33"/>
      <c r="N665" s="33"/>
      <c r="O665" s="33"/>
      <c r="P665" s="29"/>
      <c r="Q665" s="36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</row>
    <row r="666" spans="1:50" ht="12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L666" s="48"/>
      <c r="M666" s="33"/>
      <c r="N666" s="33"/>
      <c r="O666" s="33"/>
      <c r="P666" s="29"/>
      <c r="Q666" s="36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</row>
    <row r="667" spans="1:50" ht="12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L667" s="48"/>
      <c r="M667" s="33"/>
      <c r="N667" s="33"/>
      <c r="O667" s="33"/>
      <c r="P667" s="29"/>
      <c r="Q667" s="36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</row>
    <row r="668" spans="1:50" ht="12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L668" s="48"/>
      <c r="M668" s="33"/>
      <c r="N668" s="33"/>
      <c r="O668" s="33"/>
      <c r="P668" s="29"/>
      <c r="Q668" s="36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</row>
    <row r="669" spans="1:50" ht="12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L669" s="48"/>
      <c r="M669" s="33"/>
      <c r="N669" s="33"/>
      <c r="O669" s="33"/>
      <c r="P669" s="29"/>
      <c r="Q669" s="36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</row>
    <row r="670" spans="1:50" ht="12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L670" s="48"/>
      <c r="M670" s="33"/>
      <c r="N670" s="33"/>
      <c r="O670" s="33"/>
      <c r="P670" s="29"/>
      <c r="Q670" s="36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</row>
    <row r="671" spans="1:50" ht="12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L671" s="48"/>
      <c r="M671" s="33"/>
      <c r="N671" s="33"/>
      <c r="O671" s="33"/>
      <c r="P671" s="29"/>
      <c r="Q671" s="36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</row>
    <row r="672" spans="1:50" ht="12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L672" s="48"/>
      <c r="M672" s="33"/>
      <c r="N672" s="33"/>
      <c r="O672" s="33"/>
      <c r="P672" s="29"/>
      <c r="Q672" s="36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</row>
    <row r="673" spans="1:50" ht="12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L673" s="48"/>
      <c r="M673" s="33"/>
      <c r="N673" s="33"/>
      <c r="O673" s="33"/>
      <c r="P673" s="29"/>
      <c r="Q673" s="36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</row>
    <row r="674" spans="1:50" ht="12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L674" s="48"/>
      <c r="M674" s="33"/>
      <c r="N674" s="33"/>
      <c r="O674" s="33"/>
      <c r="P674" s="29"/>
      <c r="Q674" s="36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</row>
    <row r="675" spans="1:50" ht="12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L675" s="48"/>
      <c r="M675" s="33"/>
      <c r="N675" s="33"/>
      <c r="O675" s="33"/>
      <c r="P675" s="29"/>
      <c r="Q675" s="36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</row>
    <row r="676" spans="1:50" ht="12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L676" s="48"/>
      <c r="M676" s="33"/>
      <c r="N676" s="33"/>
      <c r="O676" s="33"/>
      <c r="P676" s="29"/>
      <c r="Q676" s="36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</row>
    <row r="677" spans="1:50" ht="12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L677" s="48"/>
      <c r="M677" s="33"/>
      <c r="N677" s="33"/>
      <c r="O677" s="33"/>
      <c r="P677" s="29"/>
      <c r="Q677" s="36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</row>
    <row r="678" spans="1:50" ht="12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L678" s="48"/>
      <c r="M678" s="33"/>
      <c r="N678" s="33"/>
      <c r="O678" s="33"/>
      <c r="P678" s="29"/>
      <c r="Q678" s="36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</row>
    <row r="679" spans="1:50" ht="12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L679" s="48"/>
      <c r="M679" s="33"/>
      <c r="N679" s="33"/>
      <c r="O679" s="33"/>
      <c r="P679" s="29"/>
      <c r="Q679" s="36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</row>
    <row r="680" spans="1:50" ht="12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L680" s="48"/>
      <c r="M680" s="33"/>
      <c r="N680" s="33"/>
      <c r="O680" s="33"/>
      <c r="P680" s="29"/>
      <c r="Q680" s="36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</row>
    <row r="681" spans="1:50" ht="12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L681" s="48"/>
      <c r="M681" s="33"/>
      <c r="N681" s="33"/>
      <c r="O681" s="33"/>
      <c r="P681" s="29"/>
      <c r="Q681" s="36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</row>
    <row r="682" spans="1:50" ht="12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L682" s="48"/>
      <c r="M682" s="33"/>
      <c r="N682" s="33"/>
      <c r="O682" s="33"/>
      <c r="P682" s="29"/>
      <c r="Q682" s="36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</row>
    <row r="683" spans="1:50" ht="12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L683" s="48"/>
      <c r="M683" s="33"/>
      <c r="N683" s="33"/>
      <c r="O683" s="33"/>
      <c r="P683" s="29"/>
      <c r="Q683" s="36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</row>
    <row r="684" spans="1:50" ht="12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L684" s="48"/>
      <c r="M684" s="33"/>
      <c r="N684" s="33"/>
      <c r="O684" s="33"/>
      <c r="P684" s="29"/>
      <c r="Q684" s="36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</row>
    <row r="685" spans="1:50" ht="12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L685" s="48"/>
      <c r="M685" s="33"/>
      <c r="N685" s="33"/>
      <c r="O685" s="33"/>
      <c r="P685" s="29"/>
      <c r="Q685" s="36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</row>
    <row r="686" spans="1:50" ht="12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L686" s="48"/>
      <c r="M686" s="33"/>
      <c r="N686" s="33"/>
      <c r="O686" s="33"/>
      <c r="P686" s="29"/>
      <c r="Q686" s="36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</row>
    <row r="687" spans="1:50" ht="12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L687" s="48"/>
      <c r="M687" s="33"/>
      <c r="N687" s="33"/>
      <c r="O687" s="33"/>
      <c r="P687" s="29"/>
      <c r="Q687" s="36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</row>
    <row r="688" spans="1:50" ht="12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L688" s="48"/>
      <c r="M688" s="33"/>
      <c r="N688" s="33"/>
      <c r="O688" s="33"/>
      <c r="P688" s="29"/>
      <c r="Q688" s="36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</row>
    <row r="689" spans="1:50" ht="12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L689" s="48"/>
      <c r="M689" s="33"/>
      <c r="N689" s="33"/>
      <c r="O689" s="33"/>
      <c r="P689" s="29"/>
      <c r="Q689" s="36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</row>
    <row r="690" spans="1:50" ht="12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L690" s="48"/>
      <c r="M690" s="33"/>
      <c r="N690" s="33"/>
      <c r="O690" s="33"/>
      <c r="P690" s="29"/>
      <c r="Q690" s="36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</row>
    <row r="691" spans="1:50" ht="12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L691" s="48"/>
      <c r="M691" s="33"/>
      <c r="N691" s="33"/>
      <c r="O691" s="33"/>
      <c r="P691" s="29"/>
      <c r="Q691" s="36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</row>
    <row r="692" spans="1:50" ht="12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L692" s="48"/>
      <c r="M692" s="33"/>
      <c r="N692" s="33"/>
      <c r="O692" s="33"/>
      <c r="P692" s="29"/>
      <c r="Q692" s="36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</row>
    <row r="693" spans="1:50" ht="12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L693" s="48"/>
      <c r="M693" s="33"/>
      <c r="N693" s="33"/>
      <c r="O693" s="33"/>
      <c r="P693" s="29"/>
      <c r="Q693" s="36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</row>
    <row r="694" spans="1:50" ht="12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L694" s="48"/>
      <c r="M694" s="33"/>
      <c r="N694" s="33"/>
      <c r="O694" s="33"/>
      <c r="P694" s="29"/>
      <c r="Q694" s="36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</row>
    <row r="695" spans="1:50" ht="12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L695" s="48"/>
      <c r="M695" s="33"/>
      <c r="N695" s="33"/>
      <c r="O695" s="33"/>
      <c r="P695" s="29"/>
      <c r="Q695" s="36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</row>
    <row r="696" spans="1:50" ht="12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L696" s="48"/>
      <c r="M696" s="33"/>
      <c r="N696" s="33"/>
      <c r="O696" s="33"/>
      <c r="P696" s="29"/>
      <c r="Q696" s="36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</row>
    <row r="697" spans="1:50" ht="12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L697" s="48"/>
      <c r="M697" s="33"/>
      <c r="N697" s="33"/>
      <c r="O697" s="33"/>
      <c r="P697" s="29"/>
      <c r="Q697" s="36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</row>
    <row r="698" spans="1:50" ht="12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L698" s="48"/>
      <c r="M698" s="33"/>
      <c r="N698" s="33"/>
      <c r="O698" s="33"/>
      <c r="P698" s="29"/>
      <c r="Q698" s="36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</row>
    <row r="699" spans="1:50" ht="12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L699" s="48"/>
      <c r="M699" s="33"/>
      <c r="N699" s="33"/>
      <c r="O699" s="33"/>
      <c r="P699" s="29"/>
      <c r="Q699" s="36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</row>
    <row r="700" spans="1:50" ht="12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L700" s="48"/>
      <c r="M700" s="33"/>
      <c r="N700" s="33"/>
      <c r="O700" s="33"/>
      <c r="P700" s="29"/>
      <c r="Q700" s="36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</row>
    <row r="701" spans="1:50" ht="12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L701" s="48"/>
      <c r="M701" s="33"/>
      <c r="N701" s="33"/>
      <c r="O701" s="33"/>
      <c r="P701" s="29"/>
      <c r="Q701" s="36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</row>
    <row r="702" spans="1:50" ht="12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L702" s="48"/>
      <c r="M702" s="33"/>
      <c r="N702" s="33"/>
      <c r="O702" s="33"/>
      <c r="P702" s="29"/>
      <c r="Q702" s="36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</row>
    <row r="703" spans="1:50" ht="12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L703" s="48"/>
      <c r="M703" s="33"/>
      <c r="N703" s="33"/>
      <c r="O703" s="33"/>
      <c r="P703" s="29"/>
      <c r="Q703" s="36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</row>
    <row r="704" spans="1:50" ht="12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L704" s="48"/>
      <c r="M704" s="33"/>
      <c r="N704" s="33"/>
      <c r="O704" s="33"/>
      <c r="P704" s="29"/>
      <c r="Q704" s="36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</row>
    <row r="705" spans="1:50" ht="12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L705" s="48"/>
      <c r="M705" s="33"/>
      <c r="N705" s="33"/>
      <c r="O705" s="33"/>
      <c r="P705" s="29"/>
      <c r="Q705" s="36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</row>
    <row r="706" spans="1:50" ht="12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L706" s="48"/>
      <c r="M706" s="33"/>
      <c r="N706" s="33"/>
      <c r="O706" s="33"/>
      <c r="P706" s="29"/>
      <c r="Q706" s="36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</row>
    <row r="707" spans="1:50" ht="12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L707" s="48"/>
      <c r="M707" s="33"/>
      <c r="N707" s="33"/>
      <c r="O707" s="33"/>
      <c r="P707" s="29"/>
      <c r="Q707" s="36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</row>
    <row r="708" spans="1:50" ht="12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L708" s="48"/>
      <c r="M708" s="33"/>
      <c r="N708" s="33"/>
      <c r="O708" s="33"/>
      <c r="P708" s="29"/>
      <c r="Q708" s="36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</row>
    <row r="709" spans="1:50" ht="12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L709" s="48"/>
      <c r="M709" s="33"/>
      <c r="N709" s="33"/>
      <c r="O709" s="33"/>
      <c r="P709" s="29"/>
      <c r="Q709" s="36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</row>
    <row r="710" spans="1:50" ht="12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L710" s="48"/>
      <c r="M710" s="33"/>
      <c r="N710" s="33"/>
      <c r="O710" s="33"/>
      <c r="P710" s="29"/>
      <c r="Q710" s="36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</row>
    <row r="711" spans="1:50" ht="12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L711" s="48"/>
      <c r="M711" s="33"/>
      <c r="N711" s="33"/>
      <c r="O711" s="33"/>
      <c r="P711" s="29"/>
      <c r="Q711" s="36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</row>
    <row r="712" spans="1:50" ht="12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L712" s="48"/>
      <c r="M712" s="33"/>
      <c r="N712" s="33"/>
      <c r="O712" s="33"/>
      <c r="P712" s="29"/>
      <c r="Q712" s="36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</row>
    <row r="713" spans="1:50" ht="12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L713" s="48"/>
      <c r="M713" s="33"/>
      <c r="N713" s="33"/>
      <c r="O713" s="33"/>
      <c r="P713" s="29"/>
      <c r="Q713" s="36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</row>
    <row r="714" spans="1:50" ht="12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L714" s="48"/>
      <c r="M714" s="33"/>
      <c r="N714" s="33"/>
      <c r="O714" s="33"/>
      <c r="P714" s="29"/>
      <c r="Q714" s="36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</row>
    <row r="715" spans="1:50" ht="12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L715" s="48"/>
      <c r="M715" s="33"/>
      <c r="N715" s="33"/>
      <c r="O715" s="33"/>
      <c r="P715" s="29"/>
      <c r="Q715" s="36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</row>
    <row r="716" spans="1:50" ht="12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L716" s="48"/>
      <c r="M716" s="33"/>
      <c r="N716" s="33"/>
      <c r="O716" s="33"/>
      <c r="P716" s="29"/>
      <c r="Q716" s="36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</row>
    <row r="717" spans="1:50" ht="12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L717" s="48"/>
      <c r="M717" s="33"/>
      <c r="N717" s="33"/>
      <c r="O717" s="33"/>
      <c r="P717" s="29"/>
      <c r="Q717" s="36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</row>
    <row r="718" spans="1:50" ht="12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L718" s="48"/>
      <c r="M718" s="33"/>
      <c r="N718" s="33"/>
      <c r="O718" s="33"/>
      <c r="P718" s="29"/>
      <c r="Q718" s="36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</row>
    <row r="719" spans="1:50" ht="12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L719" s="48"/>
      <c r="M719" s="33"/>
      <c r="N719" s="33"/>
      <c r="O719" s="33"/>
      <c r="P719" s="29"/>
      <c r="Q719" s="36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</row>
    <row r="720" spans="1:50" ht="12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L720" s="48"/>
      <c r="M720" s="33"/>
      <c r="N720" s="33"/>
      <c r="O720" s="33"/>
      <c r="P720" s="29"/>
      <c r="Q720" s="36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</row>
    <row r="721" spans="1:50" ht="12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L721" s="48"/>
      <c r="M721" s="33"/>
      <c r="N721" s="33"/>
      <c r="O721" s="33"/>
      <c r="P721" s="29"/>
      <c r="Q721" s="36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</row>
    <row r="722" spans="1:50" ht="12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L722" s="48"/>
      <c r="M722" s="33"/>
      <c r="N722" s="33"/>
      <c r="O722" s="33"/>
      <c r="P722" s="29"/>
      <c r="Q722" s="36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</row>
    <row r="723" spans="1:50" ht="12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L723" s="48"/>
      <c r="M723" s="33"/>
      <c r="N723" s="33"/>
      <c r="O723" s="33"/>
      <c r="P723" s="29"/>
      <c r="Q723" s="36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</row>
    <row r="724" spans="1:50" ht="12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L724" s="48"/>
      <c r="M724" s="33"/>
      <c r="N724" s="33"/>
      <c r="O724" s="33"/>
      <c r="P724" s="29"/>
      <c r="Q724" s="36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</row>
    <row r="725" spans="1:50" ht="12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L725" s="48"/>
      <c r="M725" s="33"/>
      <c r="N725" s="33"/>
      <c r="O725" s="33"/>
      <c r="P725" s="29"/>
      <c r="Q725" s="36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</row>
    <row r="726" spans="1:50" ht="12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L726" s="48"/>
      <c r="M726" s="33"/>
      <c r="N726" s="33"/>
      <c r="O726" s="33"/>
      <c r="P726" s="29"/>
      <c r="Q726" s="36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</row>
    <row r="727" spans="1:50" ht="12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L727" s="48"/>
      <c r="M727" s="33"/>
      <c r="N727" s="33"/>
      <c r="O727" s="33"/>
      <c r="P727" s="29"/>
      <c r="Q727" s="36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</row>
    <row r="728" spans="1:50" ht="12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L728" s="48"/>
      <c r="M728" s="33"/>
      <c r="N728" s="33"/>
      <c r="O728" s="33"/>
      <c r="P728" s="29"/>
      <c r="Q728" s="36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</row>
    <row r="729" spans="1:50" ht="12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L729" s="48"/>
      <c r="M729" s="33"/>
      <c r="N729" s="33"/>
      <c r="O729" s="33"/>
      <c r="P729" s="29"/>
      <c r="Q729" s="36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</row>
    <row r="730" spans="1:50" ht="12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L730" s="48"/>
      <c r="M730" s="33"/>
      <c r="N730" s="33"/>
      <c r="O730" s="33"/>
      <c r="P730" s="29"/>
      <c r="Q730" s="36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</row>
    <row r="731" spans="1:50" ht="12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L731" s="48"/>
      <c r="M731" s="33"/>
      <c r="N731" s="33"/>
      <c r="O731" s="33"/>
      <c r="P731" s="29"/>
      <c r="Q731" s="36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</row>
    <row r="732" spans="1:50" ht="12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L732" s="48"/>
      <c r="M732" s="33"/>
      <c r="N732" s="33"/>
      <c r="O732" s="33"/>
      <c r="P732" s="29"/>
      <c r="Q732" s="36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</row>
    <row r="733" spans="1:50" ht="12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L733" s="48"/>
      <c r="M733" s="33"/>
      <c r="N733" s="33"/>
      <c r="O733" s="33"/>
      <c r="P733" s="29"/>
      <c r="Q733" s="36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</row>
    <row r="734" spans="1:50" ht="12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L734" s="48"/>
      <c r="M734" s="33"/>
      <c r="N734" s="33"/>
      <c r="O734" s="33"/>
      <c r="P734" s="29"/>
      <c r="Q734" s="36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</row>
    <row r="735" spans="1:50" ht="12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L735" s="48"/>
      <c r="M735" s="33"/>
      <c r="N735" s="33"/>
      <c r="O735" s="33"/>
      <c r="P735" s="29"/>
      <c r="Q735" s="36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</row>
    <row r="736" spans="1:50" ht="12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L736" s="48"/>
      <c r="M736" s="33"/>
      <c r="N736" s="33"/>
      <c r="O736" s="33"/>
      <c r="P736" s="29"/>
      <c r="Q736" s="36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</row>
    <row r="737" spans="1:50" ht="12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L737" s="48"/>
      <c r="M737" s="33"/>
      <c r="N737" s="33"/>
      <c r="O737" s="33"/>
      <c r="P737" s="29"/>
      <c r="Q737" s="36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</row>
    <row r="738" spans="1:50" ht="12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L738" s="48"/>
      <c r="M738" s="33"/>
      <c r="N738" s="33"/>
      <c r="O738" s="33"/>
      <c r="P738" s="29"/>
      <c r="Q738" s="36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</row>
    <row r="739" spans="1:50" ht="12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L739" s="48"/>
      <c r="M739" s="33"/>
      <c r="N739" s="33"/>
      <c r="O739" s="33"/>
      <c r="P739" s="29"/>
      <c r="Q739" s="36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</row>
    <row r="740" spans="1:50" ht="12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L740" s="48"/>
      <c r="M740" s="33"/>
      <c r="N740" s="33"/>
      <c r="O740" s="33"/>
      <c r="P740" s="29"/>
      <c r="Q740" s="36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</row>
    <row r="741" spans="1:50" ht="12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L741" s="48"/>
      <c r="M741" s="33"/>
      <c r="N741" s="33"/>
      <c r="O741" s="33"/>
      <c r="P741" s="29"/>
      <c r="Q741" s="36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</row>
    <row r="742" spans="1:50" ht="12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L742" s="48"/>
      <c r="M742" s="33"/>
      <c r="N742" s="33"/>
      <c r="O742" s="33"/>
      <c r="P742" s="29"/>
      <c r="Q742" s="36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</row>
    <row r="743" spans="1:50" ht="12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L743" s="48"/>
      <c r="M743" s="33"/>
      <c r="N743" s="33"/>
      <c r="O743" s="33"/>
      <c r="P743" s="29"/>
      <c r="Q743" s="36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</row>
    <row r="744" spans="1:50" ht="12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L744" s="48"/>
      <c r="M744" s="33"/>
      <c r="N744" s="33"/>
      <c r="O744" s="33"/>
      <c r="P744" s="29"/>
      <c r="Q744" s="36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</row>
    <row r="745" spans="1:50" ht="12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L745" s="48"/>
      <c r="M745" s="33"/>
      <c r="N745" s="33"/>
      <c r="O745" s="33"/>
      <c r="P745" s="29"/>
      <c r="Q745" s="36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</row>
    <row r="746" spans="1:50" ht="12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L746" s="48"/>
      <c r="M746" s="33"/>
      <c r="N746" s="33"/>
      <c r="O746" s="33"/>
      <c r="P746" s="29"/>
      <c r="Q746" s="36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</row>
    <row r="747" spans="1:50" ht="12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L747" s="48"/>
      <c r="M747" s="33"/>
      <c r="N747" s="33"/>
      <c r="O747" s="33"/>
      <c r="P747" s="29"/>
      <c r="Q747" s="36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</row>
    <row r="748" spans="1:50" ht="12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L748" s="48"/>
      <c r="M748" s="33"/>
      <c r="N748" s="33"/>
      <c r="O748" s="33"/>
      <c r="P748" s="29"/>
      <c r="Q748" s="36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</row>
    <row r="749" spans="1:50" ht="12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L749" s="48"/>
      <c r="M749" s="33"/>
      <c r="N749" s="33"/>
      <c r="O749" s="33"/>
      <c r="P749" s="29"/>
      <c r="Q749" s="36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</row>
    <row r="750" spans="1:50" ht="12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L750" s="48"/>
      <c r="M750" s="33"/>
      <c r="N750" s="33"/>
      <c r="O750" s="33"/>
      <c r="P750" s="29"/>
      <c r="Q750" s="36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</row>
    <row r="751" spans="1:50" ht="12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L751" s="48"/>
      <c r="M751" s="33"/>
      <c r="N751" s="33"/>
      <c r="O751" s="33"/>
      <c r="P751" s="29"/>
      <c r="Q751" s="36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</row>
    <row r="752" spans="1:50" ht="12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L752" s="48"/>
      <c r="M752" s="33"/>
      <c r="N752" s="33"/>
      <c r="O752" s="33"/>
      <c r="P752" s="29"/>
      <c r="Q752" s="36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</row>
    <row r="753" spans="1:50" ht="12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L753" s="48"/>
      <c r="M753" s="33"/>
      <c r="N753" s="33"/>
      <c r="O753" s="33"/>
      <c r="P753" s="29"/>
      <c r="Q753" s="36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</row>
    <row r="754" spans="1:50" ht="12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L754" s="48"/>
      <c r="M754" s="33"/>
      <c r="N754" s="33"/>
      <c r="O754" s="33"/>
      <c r="P754" s="29"/>
      <c r="Q754" s="36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</row>
    <row r="755" spans="1:50" ht="12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L755" s="48"/>
      <c r="M755" s="33"/>
      <c r="N755" s="33"/>
      <c r="O755" s="33"/>
      <c r="P755" s="29"/>
      <c r="Q755" s="36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</row>
    <row r="756" spans="1:50" ht="12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L756" s="48"/>
      <c r="M756" s="33"/>
      <c r="N756" s="33"/>
      <c r="O756" s="33"/>
      <c r="P756" s="29"/>
      <c r="Q756" s="36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</row>
    <row r="757" spans="1:50" ht="12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L757" s="48"/>
      <c r="M757" s="33"/>
      <c r="N757" s="33"/>
      <c r="O757" s="33"/>
      <c r="P757" s="29"/>
      <c r="Q757" s="36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</row>
    <row r="758" spans="1:50" ht="12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L758" s="48"/>
      <c r="M758" s="33"/>
      <c r="N758" s="33"/>
      <c r="O758" s="33"/>
      <c r="P758" s="29"/>
      <c r="Q758" s="36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</row>
    <row r="759" spans="1:50" ht="12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L759" s="48"/>
      <c r="M759" s="33"/>
      <c r="N759" s="33"/>
      <c r="O759" s="33"/>
      <c r="P759" s="29"/>
      <c r="Q759" s="36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</row>
    <row r="760" spans="1:50" ht="12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L760" s="48"/>
      <c r="M760" s="33"/>
      <c r="N760" s="33"/>
      <c r="O760" s="33"/>
      <c r="P760" s="29"/>
      <c r="Q760" s="36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</row>
    <row r="761" spans="1:50" ht="12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L761" s="48"/>
      <c r="M761" s="33"/>
      <c r="N761" s="33"/>
      <c r="O761" s="33"/>
      <c r="P761" s="29"/>
      <c r="Q761" s="36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</row>
    <row r="762" spans="1:50" ht="12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L762" s="48"/>
      <c r="M762" s="33"/>
      <c r="N762" s="33"/>
      <c r="O762" s="33"/>
      <c r="P762" s="29"/>
      <c r="Q762" s="36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</row>
    <row r="763" spans="1:50" ht="12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L763" s="48"/>
      <c r="M763" s="33"/>
      <c r="N763" s="33"/>
      <c r="O763" s="33"/>
      <c r="P763" s="29"/>
      <c r="Q763" s="36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</row>
    <row r="764" spans="1:50" ht="12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L764" s="48"/>
      <c r="M764" s="33"/>
      <c r="N764" s="33"/>
      <c r="O764" s="33"/>
      <c r="P764" s="29"/>
      <c r="Q764" s="36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</row>
    <row r="765" spans="1:50" ht="12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L765" s="48"/>
      <c r="M765" s="33"/>
      <c r="N765" s="33"/>
      <c r="O765" s="33"/>
      <c r="P765" s="29"/>
      <c r="Q765" s="36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</row>
    <row r="766" spans="1:50" ht="12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L766" s="48"/>
      <c r="M766" s="33"/>
      <c r="N766" s="33"/>
      <c r="O766" s="33"/>
      <c r="P766" s="29"/>
      <c r="Q766" s="36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</row>
    <row r="767" spans="1:50" ht="12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L767" s="48"/>
      <c r="M767" s="33"/>
      <c r="N767" s="33"/>
      <c r="O767" s="33"/>
      <c r="P767" s="29"/>
      <c r="Q767" s="36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</row>
    <row r="768" spans="1:50" ht="12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L768" s="48"/>
      <c r="M768" s="33"/>
      <c r="N768" s="33"/>
      <c r="O768" s="33"/>
      <c r="P768" s="29"/>
      <c r="Q768" s="36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</row>
    <row r="769" spans="1:50" ht="12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L769" s="48"/>
      <c r="M769" s="33"/>
      <c r="N769" s="33"/>
      <c r="O769" s="33"/>
      <c r="P769" s="29"/>
      <c r="Q769" s="36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</row>
    <row r="770" spans="1:50" ht="12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L770" s="48"/>
      <c r="M770" s="33"/>
      <c r="N770" s="33"/>
      <c r="O770" s="33"/>
      <c r="P770" s="29"/>
      <c r="Q770" s="36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</row>
    <row r="771" spans="1:50" ht="12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L771" s="48"/>
      <c r="M771" s="33"/>
      <c r="N771" s="33"/>
      <c r="O771" s="33"/>
      <c r="P771" s="29"/>
      <c r="Q771" s="36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</row>
    <row r="772" spans="1:50" ht="12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L772" s="48"/>
      <c r="M772" s="33"/>
      <c r="N772" s="33"/>
      <c r="O772" s="33"/>
      <c r="P772" s="29"/>
      <c r="Q772" s="36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</row>
    <row r="773" spans="1:50" ht="12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L773" s="48"/>
      <c r="M773" s="33"/>
      <c r="N773" s="33"/>
      <c r="O773" s="33"/>
      <c r="P773" s="29"/>
      <c r="Q773" s="36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</row>
    <row r="774" spans="1:50" ht="12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L774" s="48"/>
      <c r="M774" s="33"/>
      <c r="N774" s="33"/>
      <c r="O774" s="33"/>
      <c r="P774" s="29"/>
      <c r="Q774" s="36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</row>
    <row r="775" spans="1:50" ht="12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L775" s="48"/>
      <c r="M775" s="33"/>
      <c r="N775" s="33"/>
      <c r="O775" s="33"/>
      <c r="P775" s="29"/>
      <c r="Q775" s="36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</row>
    <row r="776" spans="1:50" ht="12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L776" s="48"/>
      <c r="M776" s="33"/>
      <c r="N776" s="33"/>
      <c r="O776" s="33"/>
      <c r="P776" s="29"/>
      <c r="Q776" s="36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</row>
    <row r="777" spans="1:50" ht="12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L777" s="48"/>
      <c r="M777" s="33"/>
      <c r="N777" s="33"/>
      <c r="O777" s="33"/>
      <c r="P777" s="29"/>
      <c r="Q777" s="36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</row>
    <row r="778" spans="1:50" ht="12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L778" s="48"/>
      <c r="M778" s="33"/>
      <c r="N778" s="33"/>
      <c r="O778" s="33"/>
      <c r="P778" s="29"/>
      <c r="Q778" s="36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</row>
    <row r="779" spans="1:50" ht="12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L779" s="48"/>
      <c r="M779" s="33"/>
      <c r="N779" s="33"/>
      <c r="O779" s="33"/>
      <c r="P779" s="29"/>
      <c r="Q779" s="36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</row>
    <row r="780" spans="1:50" ht="12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L780" s="48"/>
      <c r="M780" s="33"/>
      <c r="N780" s="33"/>
      <c r="O780" s="33"/>
      <c r="P780" s="29"/>
      <c r="Q780" s="36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</row>
    <row r="781" spans="1:50" ht="12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L781" s="48"/>
      <c r="M781" s="33"/>
      <c r="N781" s="33"/>
      <c r="O781" s="33"/>
      <c r="P781" s="29"/>
      <c r="Q781" s="36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</row>
    <row r="782" spans="1:50" ht="12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L782" s="48"/>
      <c r="M782" s="33"/>
      <c r="N782" s="33"/>
      <c r="O782" s="33"/>
      <c r="P782" s="29"/>
      <c r="Q782" s="36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</row>
    <row r="783" spans="1:50" ht="12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L783" s="48"/>
      <c r="M783" s="33"/>
      <c r="N783" s="33"/>
      <c r="O783" s="33"/>
      <c r="P783" s="29"/>
      <c r="Q783" s="36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</row>
    <row r="784" spans="1:50" ht="12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L784" s="48"/>
      <c r="M784" s="33"/>
      <c r="N784" s="33"/>
      <c r="O784" s="33"/>
      <c r="P784" s="29"/>
      <c r="Q784" s="36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</row>
    <row r="785" spans="1:50" ht="12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L785" s="48"/>
      <c r="M785" s="33"/>
      <c r="N785" s="33"/>
      <c r="O785" s="33"/>
      <c r="P785" s="29"/>
      <c r="Q785" s="36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</row>
    <row r="786" spans="1:50" ht="12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L786" s="48"/>
      <c r="M786" s="33"/>
      <c r="N786" s="33"/>
      <c r="O786" s="33"/>
      <c r="P786" s="29"/>
      <c r="Q786" s="36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</row>
    <row r="787" spans="1:50" ht="12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L787" s="48"/>
      <c r="M787" s="33"/>
      <c r="N787" s="33"/>
      <c r="O787" s="33"/>
      <c r="P787" s="29"/>
      <c r="Q787" s="36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</row>
    <row r="788" spans="1:50" ht="12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L788" s="48"/>
      <c r="M788" s="33"/>
      <c r="N788" s="33"/>
      <c r="O788" s="33"/>
      <c r="P788" s="29"/>
      <c r="Q788" s="36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</row>
    <row r="789" spans="1:50" ht="12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L789" s="48"/>
      <c r="M789" s="33"/>
      <c r="N789" s="33"/>
      <c r="O789" s="33"/>
      <c r="P789" s="29"/>
      <c r="Q789" s="36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</row>
    <row r="790" spans="1:50" ht="12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L790" s="48"/>
      <c r="M790" s="33"/>
      <c r="N790" s="33"/>
      <c r="O790" s="33"/>
      <c r="P790" s="29"/>
      <c r="Q790" s="36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</row>
    <row r="791" spans="1:50" ht="12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L791" s="48"/>
      <c r="M791" s="33"/>
      <c r="N791" s="33"/>
      <c r="O791" s="33"/>
      <c r="P791" s="29"/>
      <c r="Q791" s="36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</row>
    <row r="792" spans="1:50" ht="12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L792" s="48"/>
      <c r="M792" s="33"/>
      <c r="N792" s="33"/>
      <c r="O792" s="33"/>
      <c r="P792" s="29"/>
      <c r="Q792" s="36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</row>
    <row r="793" spans="1:50" ht="12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L793" s="48"/>
      <c r="M793" s="33"/>
      <c r="N793" s="33"/>
      <c r="O793" s="33"/>
      <c r="P793" s="29"/>
      <c r="Q793" s="36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</row>
    <row r="794" spans="1:50" ht="12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L794" s="48"/>
      <c r="M794" s="33"/>
      <c r="N794" s="33"/>
      <c r="O794" s="33"/>
      <c r="P794" s="29"/>
      <c r="Q794" s="36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</row>
    <row r="795" spans="1:50" ht="12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L795" s="48"/>
      <c r="M795" s="33"/>
      <c r="N795" s="33"/>
      <c r="O795" s="33"/>
      <c r="P795" s="29"/>
      <c r="Q795" s="36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</row>
    <row r="796" spans="1:50" ht="12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L796" s="48"/>
      <c r="M796" s="33"/>
      <c r="N796" s="33"/>
      <c r="O796" s="33"/>
      <c r="P796" s="29"/>
      <c r="Q796" s="36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</row>
    <row r="797" spans="1:50" ht="12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L797" s="48"/>
      <c r="M797" s="33"/>
      <c r="N797" s="33"/>
      <c r="O797" s="33"/>
      <c r="P797" s="29"/>
      <c r="Q797" s="36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</row>
    <row r="798" spans="1:50" ht="12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L798" s="48"/>
      <c r="M798" s="33"/>
      <c r="N798" s="33"/>
      <c r="O798" s="33"/>
      <c r="P798" s="29"/>
      <c r="Q798" s="36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</row>
    <row r="799" spans="1:50" ht="12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L799" s="48"/>
      <c r="M799" s="33"/>
      <c r="N799" s="33"/>
      <c r="O799" s="33"/>
      <c r="P799" s="29"/>
      <c r="Q799" s="36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</row>
    <row r="800" spans="1:50" ht="12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L800" s="48"/>
      <c r="M800" s="33"/>
      <c r="N800" s="33"/>
      <c r="O800" s="33"/>
      <c r="P800" s="29"/>
      <c r="Q800" s="36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</row>
    <row r="801" spans="1:50" ht="12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L801" s="48"/>
      <c r="M801" s="33"/>
      <c r="N801" s="33"/>
      <c r="O801" s="33"/>
      <c r="P801" s="29"/>
      <c r="Q801" s="36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</row>
    <row r="802" spans="1:50" ht="12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L802" s="48"/>
      <c r="M802" s="33"/>
      <c r="N802" s="33"/>
      <c r="O802" s="33"/>
      <c r="P802" s="29"/>
      <c r="Q802" s="36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</row>
    <row r="803" spans="1:50" ht="12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L803" s="48"/>
      <c r="M803" s="33"/>
      <c r="N803" s="33"/>
      <c r="O803" s="33"/>
      <c r="P803" s="29"/>
      <c r="Q803" s="36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</row>
    <row r="804" spans="1:50" ht="12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L804" s="48"/>
      <c r="M804" s="33"/>
      <c r="N804" s="33"/>
      <c r="O804" s="33"/>
      <c r="P804" s="29"/>
      <c r="Q804" s="36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</row>
    <row r="805" spans="1:50" ht="12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L805" s="48"/>
      <c r="M805" s="33"/>
      <c r="N805" s="33"/>
      <c r="O805" s="33"/>
      <c r="P805" s="29"/>
      <c r="Q805" s="36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</row>
    <row r="806" spans="1:50" ht="12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L806" s="48"/>
      <c r="M806" s="33"/>
      <c r="N806" s="33"/>
      <c r="O806" s="33"/>
      <c r="P806" s="29"/>
      <c r="Q806" s="36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</row>
    <row r="807" spans="1:50" ht="12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L807" s="48"/>
      <c r="M807" s="33"/>
      <c r="N807" s="33"/>
      <c r="O807" s="33"/>
      <c r="P807" s="29"/>
      <c r="Q807" s="36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</row>
    <row r="808" spans="1:50" ht="12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L808" s="48"/>
      <c r="M808" s="33"/>
      <c r="N808" s="33"/>
      <c r="O808" s="33"/>
      <c r="P808" s="29"/>
      <c r="Q808" s="36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</row>
    <row r="809" spans="1:50" ht="12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L809" s="48"/>
      <c r="M809" s="33"/>
      <c r="N809" s="33"/>
      <c r="O809" s="33"/>
      <c r="P809" s="29"/>
      <c r="Q809" s="36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</row>
    <row r="810" spans="1:50" ht="12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L810" s="48"/>
      <c r="M810" s="33"/>
      <c r="N810" s="33"/>
      <c r="O810" s="33"/>
      <c r="P810" s="29"/>
      <c r="Q810" s="36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</row>
    <row r="811" spans="1:50" ht="12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L811" s="48"/>
      <c r="M811" s="33"/>
      <c r="N811" s="33"/>
      <c r="O811" s="33"/>
      <c r="P811" s="29"/>
      <c r="Q811" s="36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</row>
    <row r="812" spans="1:50" ht="12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L812" s="48"/>
      <c r="M812" s="33"/>
      <c r="N812" s="33"/>
      <c r="O812" s="33"/>
      <c r="P812" s="29"/>
      <c r="Q812" s="36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</row>
    <row r="813" spans="1:50" ht="12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L813" s="48"/>
      <c r="M813" s="33"/>
      <c r="N813" s="33"/>
      <c r="O813" s="33"/>
      <c r="P813" s="29"/>
      <c r="Q813" s="36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</row>
    <row r="814" spans="1:50" ht="12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L814" s="48"/>
      <c r="M814" s="33"/>
      <c r="N814" s="33"/>
      <c r="O814" s="33"/>
      <c r="P814" s="29"/>
      <c r="Q814" s="36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</row>
    <row r="815" spans="1:50" ht="12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L815" s="48"/>
      <c r="M815" s="33"/>
      <c r="N815" s="33"/>
      <c r="O815" s="33"/>
      <c r="P815" s="29"/>
      <c r="Q815" s="36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</row>
    <row r="816" spans="1:50" ht="12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L816" s="48"/>
      <c r="M816" s="33"/>
      <c r="N816" s="33"/>
      <c r="O816" s="33"/>
      <c r="P816" s="29"/>
      <c r="Q816" s="36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</row>
    <row r="817" spans="1:50" ht="12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L817" s="48"/>
      <c r="M817" s="33"/>
      <c r="N817" s="33"/>
      <c r="O817" s="33"/>
      <c r="P817" s="29"/>
      <c r="Q817" s="36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</row>
    <row r="818" spans="1:50" ht="12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L818" s="48"/>
      <c r="M818" s="33"/>
      <c r="N818" s="33"/>
      <c r="O818" s="33"/>
      <c r="P818" s="29"/>
      <c r="Q818" s="36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</row>
    <row r="819" spans="1:50" ht="12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L819" s="48"/>
      <c r="M819" s="33"/>
      <c r="N819" s="33"/>
      <c r="O819" s="33"/>
      <c r="P819" s="29"/>
      <c r="Q819" s="36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</row>
    <row r="820" spans="1:50" ht="12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L820" s="48"/>
      <c r="M820" s="33"/>
      <c r="N820" s="33"/>
      <c r="O820" s="33"/>
      <c r="P820" s="29"/>
      <c r="Q820" s="36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</row>
    <row r="821" spans="1:50" ht="12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L821" s="48"/>
      <c r="M821" s="33"/>
      <c r="N821" s="33"/>
      <c r="O821" s="33"/>
      <c r="P821" s="29"/>
      <c r="Q821" s="36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</row>
    <row r="822" spans="1:50" ht="12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L822" s="48"/>
      <c r="M822" s="33"/>
      <c r="N822" s="33"/>
      <c r="O822" s="33"/>
      <c r="P822" s="29"/>
      <c r="Q822" s="36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</row>
    <row r="823" spans="1:50" ht="12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L823" s="48"/>
      <c r="M823" s="33"/>
      <c r="N823" s="33"/>
      <c r="O823" s="33"/>
      <c r="P823" s="29"/>
      <c r="Q823" s="36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</row>
    <row r="824" spans="1:50" ht="12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L824" s="48"/>
      <c r="M824" s="33"/>
      <c r="N824" s="33"/>
      <c r="O824" s="33"/>
      <c r="P824" s="29"/>
      <c r="Q824" s="36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</row>
    <row r="825" spans="1:50" ht="12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L825" s="48"/>
      <c r="M825" s="33"/>
      <c r="N825" s="33"/>
      <c r="O825" s="33"/>
      <c r="P825" s="29"/>
      <c r="Q825" s="36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</row>
    <row r="826" spans="1:50" ht="12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L826" s="48"/>
      <c r="M826" s="33"/>
      <c r="N826" s="33"/>
      <c r="O826" s="33"/>
      <c r="P826" s="29"/>
      <c r="Q826" s="36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</row>
    <row r="827" spans="1:50" ht="12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L827" s="48"/>
      <c r="M827" s="33"/>
      <c r="N827" s="33"/>
      <c r="O827" s="33"/>
      <c r="P827" s="29"/>
      <c r="Q827" s="36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</row>
    <row r="828" spans="1:50" ht="12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L828" s="48"/>
      <c r="M828" s="33"/>
      <c r="N828" s="33"/>
      <c r="O828" s="33"/>
      <c r="P828" s="29"/>
      <c r="Q828" s="36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</row>
    <row r="829" spans="1:50" ht="12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L829" s="48"/>
      <c r="M829" s="33"/>
      <c r="N829" s="33"/>
      <c r="O829" s="33"/>
      <c r="P829" s="29"/>
      <c r="Q829" s="36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</row>
    <row r="830" spans="1:50" ht="12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L830" s="48"/>
      <c r="M830" s="33"/>
      <c r="N830" s="33"/>
      <c r="O830" s="33"/>
      <c r="P830" s="29"/>
      <c r="Q830" s="36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</row>
    <row r="831" spans="1:50" ht="12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L831" s="48"/>
      <c r="M831" s="33"/>
      <c r="N831" s="33"/>
      <c r="O831" s="33"/>
      <c r="P831" s="29"/>
      <c r="Q831" s="36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</row>
    <row r="832" spans="1:50" ht="12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L832" s="48"/>
      <c r="M832" s="33"/>
      <c r="N832" s="33"/>
      <c r="O832" s="33"/>
      <c r="P832" s="29"/>
      <c r="Q832" s="36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</row>
    <row r="833" spans="1:50" ht="12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L833" s="48"/>
      <c r="M833" s="33"/>
      <c r="N833" s="33"/>
      <c r="O833" s="33"/>
      <c r="P833" s="29"/>
      <c r="Q833" s="36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</row>
    <row r="834" spans="1:50" ht="12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L834" s="48"/>
      <c r="M834" s="33"/>
      <c r="N834" s="33"/>
      <c r="O834" s="33"/>
      <c r="P834" s="29"/>
      <c r="Q834" s="36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</row>
    <row r="835" spans="1:50" ht="12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L835" s="48"/>
      <c r="M835" s="33"/>
      <c r="N835" s="33"/>
      <c r="O835" s="33"/>
      <c r="P835" s="29"/>
      <c r="Q835" s="36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</row>
    <row r="836" spans="1:50" ht="12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L836" s="48"/>
      <c r="M836" s="33"/>
      <c r="N836" s="33"/>
      <c r="O836" s="33"/>
      <c r="P836" s="29"/>
      <c r="Q836" s="36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</row>
    <row r="837" spans="1:50" ht="12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L837" s="48"/>
      <c r="M837" s="33"/>
      <c r="N837" s="33"/>
      <c r="O837" s="33"/>
      <c r="P837" s="29"/>
      <c r="Q837" s="36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</row>
    <row r="838" spans="1:50" ht="12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L838" s="48"/>
      <c r="M838" s="33"/>
      <c r="N838" s="33"/>
      <c r="O838" s="33"/>
      <c r="P838" s="29"/>
      <c r="Q838" s="36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</row>
    <row r="839" spans="1:50" ht="12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L839" s="48"/>
      <c r="M839" s="33"/>
      <c r="N839" s="33"/>
      <c r="O839" s="33"/>
      <c r="P839" s="29"/>
      <c r="Q839" s="36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</row>
    <row r="840" spans="1:50" ht="12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L840" s="48"/>
      <c r="M840" s="33"/>
      <c r="N840" s="33"/>
      <c r="O840" s="33"/>
      <c r="P840" s="29"/>
      <c r="Q840" s="36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</row>
    <row r="841" spans="1:50" ht="12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L841" s="48"/>
      <c r="M841" s="33"/>
      <c r="N841" s="33"/>
      <c r="O841" s="33"/>
      <c r="P841" s="29"/>
      <c r="Q841" s="36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</row>
    <row r="842" spans="1:50" ht="12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L842" s="48"/>
      <c r="M842" s="33"/>
      <c r="N842" s="33"/>
      <c r="O842" s="33"/>
      <c r="P842" s="29"/>
      <c r="Q842" s="36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</row>
    <row r="843" spans="1:50" ht="12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L843" s="48"/>
      <c r="M843" s="33"/>
      <c r="N843" s="33"/>
      <c r="O843" s="33"/>
      <c r="P843" s="29"/>
      <c r="Q843" s="36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</row>
    <row r="844" spans="1:50" ht="12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L844" s="48"/>
      <c r="M844" s="33"/>
      <c r="N844" s="33"/>
      <c r="O844" s="33"/>
      <c r="P844" s="29"/>
      <c r="Q844" s="36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</row>
    <row r="845" spans="1:50" ht="12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L845" s="48"/>
      <c r="M845" s="33"/>
      <c r="N845" s="33"/>
      <c r="O845" s="33"/>
      <c r="P845" s="29"/>
      <c r="Q845" s="36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</row>
    <row r="846" spans="1:50" ht="12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L846" s="48"/>
      <c r="M846" s="33"/>
      <c r="N846" s="33"/>
      <c r="O846" s="33"/>
      <c r="P846" s="29"/>
      <c r="Q846" s="36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</row>
    <row r="847" spans="1:50" ht="12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L847" s="48"/>
      <c r="M847" s="33"/>
      <c r="N847" s="33"/>
      <c r="O847" s="33"/>
      <c r="P847" s="29"/>
      <c r="Q847" s="36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</row>
    <row r="848" spans="1:50" ht="12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L848" s="48"/>
      <c r="M848" s="33"/>
      <c r="N848" s="33"/>
      <c r="O848" s="33"/>
      <c r="P848" s="29"/>
      <c r="Q848" s="36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</row>
    <row r="849" spans="1:50" ht="12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L849" s="48"/>
      <c r="M849" s="33"/>
      <c r="N849" s="33"/>
      <c r="O849" s="33"/>
      <c r="P849" s="29"/>
      <c r="Q849" s="36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</row>
    <row r="850" spans="1:50" ht="12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L850" s="48"/>
      <c r="M850" s="33"/>
      <c r="N850" s="33"/>
      <c r="O850" s="33"/>
      <c r="P850" s="29"/>
      <c r="Q850" s="36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</row>
    <row r="851" spans="1:50" ht="12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L851" s="48"/>
      <c r="M851" s="33"/>
      <c r="N851" s="33"/>
      <c r="O851" s="33"/>
      <c r="P851" s="29"/>
      <c r="Q851" s="36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</row>
    <row r="852" spans="1:50" ht="12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L852" s="48"/>
      <c r="M852" s="33"/>
      <c r="N852" s="33"/>
      <c r="O852" s="33"/>
      <c r="P852" s="29"/>
      <c r="Q852" s="36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</row>
    <row r="853" spans="1:50" ht="12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L853" s="48"/>
      <c r="M853" s="33"/>
      <c r="N853" s="33"/>
      <c r="O853" s="33"/>
      <c r="P853" s="29"/>
      <c r="Q853" s="36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</row>
    <row r="854" spans="1:50" ht="12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L854" s="48"/>
      <c r="M854" s="33"/>
      <c r="N854" s="33"/>
      <c r="O854" s="33"/>
      <c r="P854" s="29"/>
      <c r="Q854" s="36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</row>
    <row r="855" spans="1:50" ht="12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L855" s="48"/>
      <c r="M855" s="33"/>
      <c r="N855" s="33"/>
      <c r="O855" s="33"/>
      <c r="P855" s="29"/>
      <c r="Q855" s="36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</row>
    <row r="856" spans="1:50" ht="12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L856" s="48"/>
      <c r="M856" s="33"/>
      <c r="N856" s="33"/>
      <c r="O856" s="33"/>
      <c r="P856" s="29"/>
      <c r="Q856" s="36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</row>
    <row r="857" spans="1:50" ht="12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L857" s="48"/>
      <c r="M857" s="33"/>
      <c r="N857" s="33"/>
      <c r="O857" s="33"/>
      <c r="P857" s="29"/>
      <c r="Q857" s="36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</row>
    <row r="858" spans="1:50" ht="12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L858" s="48"/>
      <c r="M858" s="33"/>
      <c r="N858" s="33"/>
      <c r="O858" s="33"/>
      <c r="P858" s="29"/>
      <c r="Q858" s="36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</row>
    <row r="859" spans="1:50" ht="12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L859" s="48"/>
      <c r="M859" s="33"/>
      <c r="N859" s="33"/>
      <c r="O859" s="33"/>
      <c r="P859" s="29"/>
      <c r="Q859" s="36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</row>
    <row r="860" spans="1:50" ht="12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L860" s="48"/>
      <c r="M860" s="33"/>
      <c r="N860" s="33"/>
      <c r="O860" s="33"/>
      <c r="P860" s="29"/>
      <c r="Q860" s="36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</row>
    <row r="861" spans="1:50" ht="12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L861" s="48"/>
      <c r="M861" s="33"/>
      <c r="N861" s="33"/>
      <c r="O861" s="33"/>
      <c r="P861" s="29"/>
      <c r="Q861" s="36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</row>
    <row r="862" spans="1:50" ht="12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L862" s="48"/>
      <c r="M862" s="33"/>
      <c r="N862" s="33"/>
      <c r="O862" s="33"/>
      <c r="P862" s="29"/>
      <c r="Q862" s="36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</row>
    <row r="863" spans="1:50" ht="12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L863" s="48"/>
      <c r="M863" s="33"/>
      <c r="N863" s="33"/>
      <c r="O863" s="33"/>
      <c r="P863" s="29"/>
      <c r="Q863" s="36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</row>
    <row r="864" spans="1:50" ht="12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L864" s="48"/>
      <c r="M864" s="33"/>
      <c r="N864" s="33"/>
      <c r="O864" s="33"/>
      <c r="P864" s="29"/>
      <c r="Q864" s="36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</row>
    <row r="865" spans="1:50" ht="12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L865" s="48"/>
      <c r="M865" s="33"/>
      <c r="N865" s="33"/>
      <c r="O865" s="33"/>
      <c r="P865" s="29"/>
      <c r="Q865" s="36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</row>
    <row r="866" spans="1:50" ht="12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L866" s="48"/>
      <c r="M866" s="33"/>
      <c r="N866" s="33"/>
      <c r="O866" s="33"/>
      <c r="P866" s="29"/>
      <c r="Q866" s="36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</row>
    <row r="867" spans="1:50" ht="12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L867" s="48"/>
      <c r="M867" s="33"/>
      <c r="N867" s="33"/>
      <c r="O867" s="33"/>
      <c r="P867" s="29"/>
      <c r="Q867" s="36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</row>
    <row r="868" spans="1:50" ht="12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L868" s="48"/>
      <c r="M868" s="33"/>
      <c r="N868" s="33"/>
      <c r="O868" s="33"/>
      <c r="P868" s="29"/>
      <c r="Q868" s="36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</row>
    <row r="869" spans="1:50" ht="12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L869" s="48"/>
      <c r="M869" s="33"/>
      <c r="N869" s="33"/>
      <c r="O869" s="33"/>
      <c r="P869" s="29"/>
      <c r="Q869" s="36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</row>
    <row r="870" spans="1:50" ht="12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L870" s="48"/>
      <c r="M870" s="33"/>
      <c r="N870" s="33"/>
      <c r="O870" s="33"/>
      <c r="P870" s="29"/>
      <c r="Q870" s="36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</row>
    <row r="871" spans="1:50" ht="12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L871" s="48"/>
      <c r="M871" s="33"/>
      <c r="N871" s="33"/>
      <c r="O871" s="33"/>
      <c r="P871" s="29"/>
      <c r="Q871" s="36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</row>
    <row r="872" spans="1:50" ht="12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L872" s="48"/>
      <c r="M872" s="33"/>
      <c r="N872" s="33"/>
      <c r="O872" s="33"/>
      <c r="P872" s="29"/>
      <c r="Q872" s="36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</row>
    <row r="873" spans="1:50" ht="12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L873" s="48"/>
      <c r="M873" s="33"/>
      <c r="N873" s="33"/>
      <c r="O873" s="33"/>
      <c r="P873" s="29"/>
      <c r="Q873" s="36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</row>
    <row r="874" spans="1:50" ht="12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L874" s="48"/>
      <c r="M874" s="33"/>
      <c r="N874" s="33"/>
      <c r="O874" s="33"/>
      <c r="P874" s="29"/>
      <c r="Q874" s="36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</row>
    <row r="875" spans="1:50" ht="12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L875" s="48"/>
      <c r="M875" s="33"/>
      <c r="N875" s="33"/>
      <c r="O875" s="33"/>
      <c r="P875" s="29"/>
      <c r="Q875" s="36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</row>
    <row r="876" spans="1:50" ht="12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L876" s="48"/>
      <c r="M876" s="33"/>
      <c r="N876" s="33"/>
      <c r="O876" s="33"/>
      <c r="P876" s="29"/>
      <c r="Q876" s="36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</row>
    <row r="877" spans="1:50" ht="12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L877" s="48"/>
      <c r="M877" s="33"/>
      <c r="N877" s="33"/>
      <c r="O877" s="33"/>
      <c r="P877" s="29"/>
      <c r="Q877" s="36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</row>
    <row r="878" spans="1:50" ht="12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L878" s="48"/>
      <c r="M878" s="33"/>
      <c r="N878" s="33"/>
      <c r="O878" s="33"/>
      <c r="P878" s="29"/>
      <c r="Q878" s="36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</row>
    <row r="879" spans="1:50" ht="12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L879" s="48"/>
      <c r="M879" s="33"/>
      <c r="N879" s="33"/>
      <c r="O879" s="33"/>
      <c r="P879" s="29"/>
      <c r="Q879" s="36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</row>
    <row r="880" spans="1:50" ht="12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L880" s="48"/>
      <c r="M880" s="33"/>
      <c r="N880" s="33"/>
      <c r="O880" s="33"/>
      <c r="P880" s="29"/>
      <c r="Q880" s="36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</row>
    <row r="881" spans="1:50" ht="12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L881" s="48"/>
      <c r="M881" s="33"/>
      <c r="N881" s="33"/>
      <c r="O881" s="33"/>
      <c r="P881" s="29"/>
      <c r="Q881" s="36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</row>
    <row r="882" spans="1:50" ht="12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L882" s="48"/>
      <c r="M882" s="33"/>
      <c r="N882" s="33"/>
      <c r="O882" s="33"/>
      <c r="P882" s="29"/>
      <c r="Q882" s="36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</row>
    <row r="883" spans="1:50" ht="12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L883" s="48"/>
      <c r="M883" s="33"/>
      <c r="N883" s="33"/>
      <c r="O883" s="33"/>
      <c r="P883" s="29"/>
      <c r="Q883" s="36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</row>
    <row r="884" spans="1:50" ht="12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L884" s="48"/>
      <c r="M884" s="33"/>
      <c r="N884" s="33"/>
      <c r="O884" s="33"/>
      <c r="P884" s="29"/>
      <c r="Q884" s="36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</row>
    <row r="885" spans="1:50" ht="12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L885" s="48"/>
      <c r="M885" s="33"/>
      <c r="N885" s="33"/>
      <c r="O885" s="33"/>
      <c r="P885" s="29"/>
      <c r="Q885" s="36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</row>
    <row r="886" spans="1:50" ht="12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L886" s="48"/>
      <c r="M886" s="33"/>
      <c r="N886" s="33"/>
      <c r="O886" s="33"/>
      <c r="P886" s="29"/>
      <c r="Q886" s="36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</row>
    <row r="887" spans="1:50" ht="12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L887" s="48"/>
      <c r="M887" s="33"/>
      <c r="N887" s="33"/>
      <c r="O887" s="33"/>
      <c r="P887" s="29"/>
      <c r="Q887" s="36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</row>
    <row r="888" spans="1:50" ht="12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L888" s="48"/>
      <c r="M888" s="33"/>
      <c r="N888" s="33"/>
      <c r="O888" s="33"/>
      <c r="P888" s="29"/>
      <c r="Q888" s="36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</row>
    <row r="889" spans="1:50" ht="12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L889" s="48"/>
      <c r="M889" s="33"/>
      <c r="N889" s="33"/>
      <c r="O889" s="33"/>
      <c r="P889" s="29"/>
      <c r="Q889" s="36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</row>
    <row r="890" spans="1:50" ht="12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L890" s="48"/>
      <c r="M890" s="33"/>
      <c r="N890" s="33"/>
      <c r="O890" s="33"/>
      <c r="P890" s="29"/>
      <c r="Q890" s="36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</row>
    <row r="891" spans="1:50" ht="12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L891" s="48"/>
      <c r="M891" s="33"/>
      <c r="N891" s="33"/>
      <c r="O891" s="33"/>
      <c r="P891" s="29"/>
      <c r="Q891" s="36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</row>
    <row r="892" spans="1:50" ht="12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L892" s="48"/>
      <c r="M892" s="33"/>
      <c r="N892" s="33"/>
      <c r="O892" s="33"/>
      <c r="P892" s="29"/>
      <c r="Q892" s="36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</row>
    <row r="893" spans="1:50" ht="12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L893" s="48"/>
      <c r="M893" s="33"/>
      <c r="N893" s="33"/>
      <c r="O893" s="33"/>
      <c r="P893" s="29"/>
      <c r="Q893" s="36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</row>
    <row r="894" spans="1:50" ht="12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L894" s="48"/>
      <c r="M894" s="33"/>
      <c r="N894" s="33"/>
      <c r="O894" s="33"/>
      <c r="P894" s="29"/>
      <c r="Q894" s="36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</row>
    <row r="895" spans="1:50" ht="12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L895" s="48"/>
      <c r="M895" s="33"/>
      <c r="N895" s="33"/>
      <c r="O895" s="33"/>
      <c r="P895" s="29"/>
      <c r="Q895" s="36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</row>
    <row r="896" spans="1:50" ht="12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L896" s="48"/>
      <c r="M896" s="33"/>
      <c r="N896" s="33"/>
      <c r="O896" s="33"/>
      <c r="P896" s="29"/>
      <c r="Q896" s="36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</row>
    <row r="897" spans="1:50" ht="12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L897" s="48"/>
      <c r="M897" s="33"/>
      <c r="N897" s="33"/>
      <c r="O897" s="33"/>
      <c r="P897" s="29"/>
      <c r="Q897" s="36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</row>
    <row r="898" spans="1:50" ht="12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L898" s="48"/>
      <c r="M898" s="33"/>
      <c r="N898" s="33"/>
      <c r="O898" s="33"/>
      <c r="P898" s="29"/>
      <c r="Q898" s="36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</row>
    <row r="899" spans="1:50" ht="12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L899" s="48"/>
      <c r="M899" s="33"/>
      <c r="N899" s="33"/>
      <c r="O899" s="33"/>
      <c r="P899" s="29"/>
      <c r="Q899" s="36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</row>
    <row r="900" spans="1:50" ht="12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L900" s="48"/>
      <c r="M900" s="33"/>
      <c r="N900" s="33"/>
      <c r="O900" s="33"/>
      <c r="P900" s="29"/>
      <c r="Q900" s="36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</row>
    <row r="901" spans="1:50" ht="12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L901" s="48"/>
      <c r="M901" s="33"/>
      <c r="N901" s="33"/>
      <c r="O901" s="33"/>
      <c r="P901" s="29"/>
      <c r="Q901" s="36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</row>
    <row r="902" spans="1:50" ht="12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L902" s="48"/>
      <c r="M902" s="33"/>
      <c r="N902" s="33"/>
      <c r="O902" s="33"/>
      <c r="P902" s="29"/>
      <c r="Q902" s="36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</row>
    <row r="903" spans="1:50" ht="12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L903" s="48"/>
      <c r="M903" s="33"/>
      <c r="N903" s="33"/>
      <c r="O903" s="33"/>
      <c r="P903" s="29"/>
      <c r="Q903" s="36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</row>
    <row r="904" spans="1:50" ht="12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L904" s="48"/>
      <c r="M904" s="33"/>
      <c r="N904" s="33"/>
      <c r="O904" s="33"/>
      <c r="P904" s="29"/>
      <c r="Q904" s="36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</row>
    <row r="905" spans="1:50" ht="12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L905" s="48"/>
      <c r="M905" s="33"/>
      <c r="N905" s="33"/>
      <c r="O905" s="33"/>
      <c r="P905" s="29"/>
      <c r="Q905" s="36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</row>
    <row r="906" spans="1:50" ht="12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L906" s="48"/>
      <c r="M906" s="33"/>
      <c r="N906" s="33"/>
      <c r="O906" s="33"/>
      <c r="P906" s="29"/>
      <c r="Q906" s="36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</row>
    <row r="907" spans="1:50" ht="12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L907" s="48"/>
      <c r="M907" s="33"/>
      <c r="N907" s="33"/>
      <c r="O907" s="33"/>
      <c r="P907" s="29"/>
      <c r="Q907" s="36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</row>
    <row r="908" spans="1:50" ht="12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L908" s="48"/>
      <c r="M908" s="33"/>
      <c r="N908" s="33"/>
      <c r="O908" s="33"/>
      <c r="P908" s="29"/>
      <c r="Q908" s="36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</row>
    <row r="909" spans="1:50" ht="12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L909" s="48"/>
      <c r="M909" s="33"/>
      <c r="N909" s="33"/>
      <c r="O909" s="33"/>
      <c r="P909" s="29"/>
      <c r="Q909" s="36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</row>
    <row r="910" spans="1:50" ht="12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L910" s="48"/>
      <c r="M910" s="33"/>
      <c r="N910" s="33"/>
      <c r="O910" s="33"/>
      <c r="P910" s="29"/>
      <c r="Q910" s="36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</row>
    <row r="911" spans="1:50" ht="12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L911" s="48"/>
      <c r="M911" s="33"/>
      <c r="N911" s="33"/>
      <c r="O911" s="33"/>
      <c r="P911" s="29"/>
      <c r="Q911" s="36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</row>
    <row r="912" spans="1:50" ht="12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L912" s="48"/>
      <c r="M912" s="33"/>
      <c r="N912" s="33"/>
      <c r="O912" s="33"/>
      <c r="P912" s="29"/>
      <c r="Q912" s="36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</row>
    <row r="913" spans="1:50" ht="12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L913" s="48"/>
      <c r="M913" s="33"/>
      <c r="N913" s="33"/>
      <c r="O913" s="33"/>
      <c r="P913" s="29"/>
      <c r="Q913" s="36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</row>
    <row r="914" spans="1:50" ht="12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L914" s="48"/>
      <c r="M914" s="33"/>
      <c r="N914" s="33"/>
      <c r="O914" s="33"/>
      <c r="P914" s="29"/>
      <c r="Q914" s="36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</row>
    <row r="915" spans="1:50" ht="12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L915" s="48"/>
      <c r="M915" s="33"/>
      <c r="N915" s="33"/>
      <c r="O915" s="33"/>
      <c r="P915" s="29"/>
      <c r="Q915" s="36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</row>
    <row r="916" spans="1:50" ht="12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L916" s="48"/>
      <c r="M916" s="33"/>
      <c r="N916" s="33"/>
      <c r="O916" s="33"/>
      <c r="P916" s="29"/>
      <c r="Q916" s="36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</row>
    <row r="917" spans="1:50" ht="12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L917" s="48"/>
      <c r="M917" s="33"/>
      <c r="N917" s="33"/>
      <c r="O917" s="33"/>
      <c r="P917" s="29"/>
      <c r="Q917" s="36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</row>
    <row r="918" spans="1:50" ht="12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L918" s="48"/>
      <c r="M918" s="33"/>
      <c r="N918" s="33"/>
      <c r="O918" s="33"/>
      <c r="P918" s="29"/>
      <c r="Q918" s="36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</row>
    <row r="919" spans="1:50" ht="12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L919" s="48"/>
      <c r="M919" s="33"/>
      <c r="N919" s="33"/>
      <c r="O919" s="33"/>
      <c r="P919" s="29"/>
      <c r="Q919" s="36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</row>
    <row r="920" spans="1:50" ht="12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L920" s="48"/>
      <c r="M920" s="33"/>
      <c r="N920" s="33"/>
      <c r="O920" s="33"/>
      <c r="P920" s="29"/>
      <c r="Q920" s="36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</row>
    <row r="921" spans="1:50" ht="12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L921" s="48"/>
      <c r="M921" s="33"/>
      <c r="N921" s="33"/>
      <c r="O921" s="33"/>
      <c r="P921" s="29"/>
      <c r="Q921" s="36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</row>
    <row r="922" spans="1:50" ht="12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L922" s="48"/>
      <c r="M922" s="33"/>
      <c r="N922" s="33"/>
      <c r="O922" s="33"/>
      <c r="P922" s="29"/>
      <c r="Q922" s="36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</row>
    <row r="923" spans="1:50" ht="12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L923" s="48"/>
      <c r="M923" s="33"/>
      <c r="N923" s="33"/>
      <c r="O923" s="33"/>
      <c r="P923" s="29"/>
      <c r="Q923" s="36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</row>
    <row r="924" spans="1:50" ht="12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L924" s="48"/>
      <c r="M924" s="33"/>
      <c r="N924" s="33"/>
      <c r="O924" s="33"/>
      <c r="P924" s="29"/>
      <c r="Q924" s="36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</row>
    <row r="925" spans="1:50" ht="12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L925" s="48"/>
      <c r="M925" s="33"/>
      <c r="N925" s="33"/>
      <c r="O925" s="33"/>
      <c r="P925" s="29"/>
      <c r="Q925" s="36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</row>
    <row r="926" spans="1:50" ht="12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L926" s="48"/>
      <c r="M926" s="33"/>
      <c r="N926" s="33"/>
      <c r="O926" s="33"/>
      <c r="P926" s="29"/>
      <c r="Q926" s="36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</row>
    <row r="927" spans="1:50" ht="12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L927" s="48"/>
      <c r="M927" s="33"/>
      <c r="N927" s="33"/>
      <c r="O927" s="33"/>
      <c r="P927" s="29"/>
      <c r="Q927" s="36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</row>
    <row r="928" spans="1:50" ht="12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L928" s="48"/>
      <c r="M928" s="33"/>
      <c r="N928" s="33"/>
      <c r="O928" s="33"/>
      <c r="P928" s="29"/>
      <c r="Q928" s="36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</row>
    <row r="929" spans="1:50" ht="12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L929" s="48"/>
      <c r="M929" s="33"/>
      <c r="N929" s="33"/>
      <c r="O929" s="33"/>
      <c r="P929" s="29"/>
      <c r="Q929" s="36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</row>
    <row r="930" spans="1:50" ht="12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L930" s="48"/>
      <c r="M930" s="33"/>
      <c r="N930" s="33"/>
      <c r="O930" s="33"/>
      <c r="P930" s="29"/>
      <c r="Q930" s="36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</row>
    <row r="931" spans="1:50" ht="12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L931" s="48"/>
      <c r="M931" s="33"/>
      <c r="N931" s="33"/>
      <c r="O931" s="33"/>
      <c r="P931" s="29"/>
      <c r="Q931" s="36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</row>
    <row r="932" spans="1:50" ht="12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L932" s="48"/>
      <c r="M932" s="33"/>
      <c r="N932" s="33"/>
      <c r="O932" s="33"/>
      <c r="P932" s="29"/>
      <c r="Q932" s="36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</row>
    <row r="933" spans="1:50" ht="12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L933" s="48"/>
      <c r="M933" s="33"/>
      <c r="N933" s="33"/>
      <c r="O933" s="33"/>
      <c r="P933" s="29"/>
      <c r="Q933" s="36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</row>
    <row r="934" spans="1:50" ht="12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L934" s="48"/>
      <c r="M934" s="33"/>
      <c r="N934" s="33"/>
      <c r="O934" s="33"/>
      <c r="P934" s="29"/>
      <c r="Q934" s="36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</row>
    <row r="935" spans="1:50" ht="12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L935" s="48"/>
      <c r="M935" s="33"/>
      <c r="N935" s="33"/>
      <c r="O935" s="33"/>
      <c r="P935" s="29"/>
      <c r="Q935" s="36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</row>
    <row r="936" spans="1:50" ht="12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L936" s="48"/>
      <c r="M936" s="33"/>
      <c r="N936" s="33"/>
      <c r="O936" s="33"/>
      <c r="P936" s="29"/>
      <c r="Q936" s="36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</row>
    <row r="937" spans="1:50" ht="12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L937" s="48"/>
      <c r="M937" s="33"/>
      <c r="N937" s="33"/>
      <c r="O937" s="33"/>
      <c r="P937" s="29"/>
      <c r="Q937" s="36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</row>
    <row r="938" spans="1:50" ht="12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L938" s="48"/>
      <c r="M938" s="33"/>
      <c r="N938" s="33"/>
      <c r="O938" s="33"/>
      <c r="P938" s="29"/>
      <c r="Q938" s="36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</row>
    <row r="939" spans="1:50" ht="12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L939" s="48"/>
      <c r="M939" s="33"/>
      <c r="N939" s="33"/>
      <c r="O939" s="33"/>
      <c r="P939" s="29"/>
      <c r="Q939" s="36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</row>
    <row r="940" spans="1:50" ht="12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L940" s="48"/>
      <c r="M940" s="33"/>
      <c r="N940" s="33"/>
      <c r="O940" s="33"/>
      <c r="P940" s="29"/>
      <c r="Q940" s="36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</row>
    <row r="941" spans="1:50" ht="12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L941" s="48"/>
      <c r="M941" s="33"/>
      <c r="N941" s="33"/>
      <c r="O941" s="33"/>
      <c r="P941" s="29"/>
      <c r="Q941" s="36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</row>
    <row r="942" spans="1:50" ht="12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L942" s="48"/>
      <c r="M942" s="33"/>
      <c r="N942" s="33"/>
      <c r="O942" s="33"/>
      <c r="P942" s="29"/>
      <c r="Q942" s="36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</row>
    <row r="943" spans="1:50" ht="12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L943" s="48"/>
      <c r="M943" s="33"/>
      <c r="N943" s="33"/>
      <c r="O943" s="33"/>
      <c r="P943" s="29"/>
      <c r="Q943" s="36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</row>
    <row r="944" spans="1:50" ht="12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L944" s="48"/>
      <c r="M944" s="33"/>
      <c r="N944" s="33"/>
      <c r="O944" s="33"/>
      <c r="P944" s="29"/>
      <c r="Q944" s="36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</row>
    <row r="945" spans="1:50" ht="12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L945" s="48"/>
      <c r="M945" s="33"/>
      <c r="N945" s="33"/>
      <c r="O945" s="33"/>
      <c r="P945" s="29"/>
      <c r="Q945" s="36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</row>
    <row r="946" spans="1:50" ht="12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L946" s="48"/>
      <c r="M946" s="33"/>
      <c r="N946" s="33"/>
      <c r="O946" s="33"/>
      <c r="P946" s="29"/>
      <c r="Q946" s="36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</row>
    <row r="947" spans="1:50" ht="12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L947" s="48"/>
      <c r="M947" s="33"/>
      <c r="N947" s="33"/>
      <c r="O947" s="33"/>
      <c r="P947" s="29"/>
      <c r="Q947" s="36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</row>
    <row r="948" spans="1:50" ht="12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L948" s="48"/>
      <c r="M948" s="33"/>
      <c r="N948" s="33"/>
      <c r="O948" s="33"/>
      <c r="P948" s="29"/>
      <c r="Q948" s="36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</row>
    <row r="949" spans="1:50" ht="12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L949" s="48"/>
      <c r="M949" s="33"/>
      <c r="N949" s="33"/>
      <c r="O949" s="33"/>
      <c r="P949" s="29"/>
      <c r="Q949" s="36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</row>
    <row r="950" spans="1:50" ht="12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L950" s="48"/>
      <c r="M950" s="33"/>
      <c r="N950" s="33"/>
      <c r="O950" s="33"/>
      <c r="P950" s="29"/>
      <c r="Q950" s="36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</row>
    <row r="951" spans="1:50" ht="12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L951" s="48"/>
      <c r="M951" s="33"/>
      <c r="N951" s="33"/>
      <c r="O951" s="33"/>
      <c r="P951" s="29"/>
      <c r="Q951" s="36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</row>
    <row r="952" spans="1:50" ht="12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L952" s="48"/>
      <c r="M952" s="33"/>
      <c r="N952" s="33"/>
      <c r="O952" s="33"/>
      <c r="P952" s="29"/>
      <c r="Q952" s="36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</row>
    <row r="953" spans="1:50" ht="12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L953" s="48"/>
      <c r="M953" s="33"/>
      <c r="N953" s="33"/>
      <c r="O953" s="33"/>
      <c r="P953" s="29"/>
      <c r="Q953" s="36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</row>
    <row r="954" spans="1:50" ht="12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L954" s="48"/>
      <c r="M954" s="33"/>
      <c r="N954" s="33"/>
      <c r="O954" s="33"/>
      <c r="P954" s="29"/>
      <c r="Q954" s="36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</row>
    <row r="955" spans="1:50" ht="12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L955" s="48"/>
      <c r="M955" s="33"/>
      <c r="N955" s="33"/>
      <c r="O955" s="33"/>
      <c r="P955" s="29"/>
      <c r="Q955" s="36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</row>
    <row r="956" spans="1:50" ht="12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L956" s="48"/>
      <c r="M956" s="33"/>
      <c r="N956" s="33"/>
      <c r="O956" s="33"/>
      <c r="P956" s="29"/>
      <c r="Q956" s="36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</row>
    <row r="957" spans="1:50" ht="12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L957" s="48"/>
      <c r="M957" s="33"/>
      <c r="N957" s="33"/>
      <c r="O957" s="33"/>
      <c r="P957" s="29"/>
      <c r="Q957" s="36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</row>
    <row r="958" spans="1:50" ht="12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L958" s="48"/>
      <c r="M958" s="33"/>
      <c r="N958" s="33"/>
      <c r="O958" s="33"/>
      <c r="P958" s="29"/>
      <c r="Q958" s="36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</row>
    <row r="959" spans="1:50" ht="12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L959" s="48"/>
      <c r="M959" s="33"/>
      <c r="N959" s="33"/>
      <c r="O959" s="33"/>
      <c r="P959" s="29"/>
      <c r="Q959" s="36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</row>
    <row r="960" spans="1:50" ht="12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L960" s="48"/>
      <c r="M960" s="33"/>
      <c r="N960" s="33"/>
      <c r="O960" s="33"/>
      <c r="P960" s="29"/>
      <c r="Q960" s="36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</row>
    <row r="961" spans="1:50" ht="12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L961" s="48"/>
      <c r="M961" s="33"/>
      <c r="N961" s="33"/>
      <c r="O961" s="33"/>
      <c r="P961" s="29"/>
      <c r="Q961" s="36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</row>
    <row r="962" spans="1:50" ht="12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L962" s="48"/>
      <c r="M962" s="33"/>
      <c r="N962" s="33"/>
      <c r="O962" s="33"/>
      <c r="P962" s="29"/>
      <c r="Q962" s="36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</row>
    <row r="963" spans="1:50" ht="12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L963" s="48"/>
      <c r="M963" s="33"/>
      <c r="N963" s="33"/>
      <c r="O963" s="33"/>
      <c r="P963" s="29"/>
      <c r="Q963" s="36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</row>
    <row r="964" spans="1:50" ht="12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L964" s="48"/>
      <c r="M964" s="33"/>
      <c r="N964" s="33"/>
      <c r="O964" s="33"/>
      <c r="P964" s="29"/>
      <c r="Q964" s="36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</row>
    <row r="965" spans="1:50" ht="12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L965" s="48"/>
      <c r="M965" s="33"/>
      <c r="N965" s="33"/>
      <c r="O965" s="33"/>
      <c r="P965" s="29"/>
      <c r="Q965" s="36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</row>
    <row r="966" spans="1:50" ht="12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L966" s="48"/>
      <c r="M966" s="33"/>
      <c r="N966" s="33"/>
      <c r="O966" s="33"/>
      <c r="P966" s="29"/>
      <c r="Q966" s="36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</row>
    <row r="967" spans="1:50" ht="12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L967" s="48"/>
      <c r="M967" s="33"/>
      <c r="N967" s="33"/>
      <c r="O967" s="33"/>
      <c r="P967" s="29"/>
      <c r="Q967" s="36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</row>
    <row r="968" spans="1:50" ht="12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L968" s="48"/>
      <c r="M968" s="33"/>
      <c r="N968" s="33"/>
      <c r="O968" s="33"/>
      <c r="P968" s="29"/>
      <c r="Q968" s="36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</row>
    <row r="969" spans="1:50" ht="12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L969" s="48"/>
      <c r="M969" s="33"/>
      <c r="N969" s="33"/>
      <c r="O969" s="33"/>
      <c r="P969" s="29"/>
      <c r="Q969" s="36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</row>
    <row r="970" spans="1:50" ht="12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L970" s="48"/>
      <c r="M970" s="33"/>
      <c r="N970" s="33"/>
      <c r="O970" s="33"/>
      <c r="P970" s="29"/>
      <c r="Q970" s="36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</row>
    <row r="971" spans="1:50" ht="12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L971" s="48"/>
      <c r="M971" s="33"/>
      <c r="N971" s="33"/>
      <c r="O971" s="33"/>
      <c r="P971" s="29"/>
      <c r="Q971" s="36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</row>
    <row r="972" spans="1:50" ht="12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L972" s="48"/>
      <c r="M972" s="33"/>
      <c r="N972" s="33"/>
      <c r="O972" s="33"/>
      <c r="P972" s="29"/>
      <c r="Q972" s="36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</row>
    <row r="973" spans="1:50" ht="12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L973" s="48"/>
      <c r="M973" s="33"/>
      <c r="N973" s="33"/>
      <c r="O973" s="33"/>
      <c r="P973" s="29"/>
      <c r="Q973" s="36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</row>
    <row r="974" spans="1:50" ht="12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L974" s="48"/>
      <c r="M974" s="33"/>
      <c r="N974" s="33"/>
      <c r="O974" s="33"/>
      <c r="P974" s="29"/>
      <c r="Q974" s="36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</row>
    <row r="975" spans="1:50" ht="12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L975" s="48"/>
      <c r="M975" s="33"/>
      <c r="N975" s="33"/>
      <c r="O975" s="33"/>
      <c r="P975" s="29"/>
      <c r="Q975" s="36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</row>
    <row r="976" spans="1:50" ht="12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L976" s="48"/>
      <c r="M976" s="33"/>
      <c r="N976" s="33"/>
      <c r="O976" s="33"/>
      <c r="P976" s="29"/>
      <c r="Q976" s="36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</row>
    <row r="977" spans="1:50" ht="12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L977" s="48"/>
      <c r="M977" s="33"/>
      <c r="N977" s="33"/>
      <c r="O977" s="33"/>
      <c r="P977" s="29"/>
      <c r="Q977" s="36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</row>
    <row r="978" spans="1:50" ht="12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L978" s="48"/>
      <c r="M978" s="33"/>
      <c r="N978" s="33"/>
      <c r="O978" s="33"/>
      <c r="P978" s="29"/>
      <c r="Q978" s="36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</row>
    <row r="979" spans="1:50" ht="12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L979" s="48"/>
      <c r="M979" s="33"/>
      <c r="N979" s="33"/>
      <c r="O979" s="33"/>
      <c r="P979" s="29"/>
      <c r="Q979" s="36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</row>
    <row r="980" spans="1:50" ht="12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L980" s="48"/>
      <c r="M980" s="33"/>
      <c r="N980" s="33"/>
      <c r="O980" s="33"/>
      <c r="P980" s="29"/>
      <c r="Q980" s="36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</row>
    <row r="981" spans="1:50" ht="12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L981" s="48"/>
      <c r="M981" s="33"/>
      <c r="N981" s="33"/>
      <c r="O981" s="33"/>
      <c r="P981" s="29"/>
      <c r="Q981" s="36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</row>
    <row r="982" spans="1:50" ht="12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L982" s="48"/>
      <c r="M982" s="33"/>
      <c r="N982" s="33"/>
      <c r="O982" s="33"/>
      <c r="P982" s="29"/>
      <c r="Q982" s="36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</row>
    <row r="983" spans="1:50" ht="12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L983" s="48"/>
      <c r="M983" s="33"/>
      <c r="N983" s="33"/>
      <c r="O983" s="33"/>
      <c r="P983" s="29"/>
      <c r="Q983" s="36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</row>
    <row r="984" spans="1:50" ht="12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L984" s="48"/>
      <c r="M984" s="33"/>
      <c r="N984" s="33"/>
      <c r="O984" s="33"/>
      <c r="P984" s="29"/>
      <c r="Q984" s="36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</row>
    <row r="985" spans="1:50" ht="12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L985" s="48"/>
      <c r="M985" s="33"/>
      <c r="N985" s="33"/>
      <c r="O985" s="33"/>
      <c r="P985" s="29"/>
      <c r="Q985" s="36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</row>
    <row r="986" spans="1:50" ht="12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L986" s="48"/>
      <c r="M986" s="33"/>
      <c r="N986" s="33"/>
      <c r="O986" s="33"/>
      <c r="P986" s="29"/>
      <c r="Q986" s="36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</row>
    <row r="987" spans="1:50" ht="12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L987" s="48"/>
      <c r="M987" s="33"/>
      <c r="N987" s="33"/>
      <c r="O987" s="33"/>
      <c r="P987" s="29"/>
      <c r="Q987" s="36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</row>
    <row r="988" spans="1:50" ht="12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L988" s="48"/>
      <c r="M988" s="33"/>
      <c r="N988" s="33"/>
      <c r="O988" s="33"/>
      <c r="P988" s="29"/>
      <c r="Q988" s="36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</row>
    <row r="989" spans="1:50" ht="12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L989" s="48"/>
      <c r="M989" s="33"/>
      <c r="N989" s="33"/>
      <c r="O989" s="33"/>
      <c r="P989" s="29"/>
      <c r="Q989" s="36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</row>
    <row r="990" spans="1:50" ht="12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L990" s="48"/>
      <c r="M990" s="33"/>
      <c r="N990" s="33"/>
      <c r="O990" s="33"/>
      <c r="P990" s="29"/>
      <c r="Q990" s="36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</row>
    <row r="991" spans="1:50" ht="12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L991" s="48"/>
      <c r="M991" s="33"/>
      <c r="N991" s="33"/>
      <c r="O991" s="33"/>
      <c r="P991" s="29"/>
      <c r="Q991" s="36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</row>
    <row r="992" spans="1:50" ht="12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L992" s="48"/>
      <c r="M992" s="33"/>
      <c r="N992" s="33"/>
      <c r="O992" s="33"/>
      <c r="P992" s="29"/>
      <c r="Q992" s="36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</row>
    <row r="993" spans="1:50" ht="12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L993" s="48"/>
      <c r="M993" s="33"/>
      <c r="N993" s="33"/>
      <c r="O993" s="33"/>
      <c r="P993" s="29"/>
      <c r="Q993" s="36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</row>
    <row r="994" spans="1:50" ht="12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L994" s="48"/>
      <c r="M994" s="33"/>
      <c r="N994" s="33"/>
      <c r="O994" s="33"/>
      <c r="P994" s="29"/>
      <c r="Q994" s="36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</row>
    <row r="995" spans="1:50" ht="12">
      <c r="A995" s="34"/>
      <c r="B995" s="34"/>
      <c r="C995" s="34"/>
      <c r="D995" s="34"/>
      <c r="E995" s="34"/>
      <c r="F995" s="34"/>
      <c r="G995" s="34"/>
      <c r="H995" s="34"/>
      <c r="I995" s="34"/>
      <c r="J995" s="34"/>
      <c r="L995" s="48"/>
      <c r="M995" s="33"/>
      <c r="N995" s="33"/>
      <c r="O995" s="33"/>
      <c r="P995" s="29"/>
      <c r="Q995" s="36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</row>
    <row r="996" spans="1:50" ht="12">
      <c r="A996" s="34"/>
      <c r="B996" s="34"/>
      <c r="C996" s="34"/>
      <c r="D996" s="34"/>
      <c r="E996" s="34"/>
      <c r="F996" s="34"/>
      <c r="G996" s="34"/>
      <c r="H996" s="34"/>
      <c r="I996" s="34"/>
      <c r="J996" s="34"/>
      <c r="L996" s="48"/>
      <c r="M996" s="33"/>
      <c r="N996" s="33"/>
      <c r="O996" s="33"/>
      <c r="P996" s="29"/>
      <c r="Q996" s="36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</row>
    <row r="997" spans="1:50" ht="12">
      <c r="A997" s="34"/>
      <c r="B997" s="34"/>
      <c r="C997" s="34"/>
      <c r="D997" s="34"/>
      <c r="E997" s="34"/>
      <c r="F997" s="34"/>
      <c r="G997" s="34"/>
      <c r="H997" s="34"/>
      <c r="I997" s="34"/>
      <c r="J997" s="34"/>
      <c r="L997" s="48"/>
      <c r="M997" s="33"/>
      <c r="N997" s="33"/>
      <c r="O997" s="33"/>
      <c r="P997" s="29"/>
      <c r="Q997" s="36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</row>
    <row r="998" spans="1:50" ht="12">
      <c r="A998" s="34"/>
      <c r="B998" s="34"/>
      <c r="C998" s="34"/>
      <c r="D998" s="34"/>
      <c r="E998" s="34"/>
      <c r="F998" s="34"/>
      <c r="G998" s="34"/>
      <c r="H998" s="34"/>
      <c r="I998" s="34"/>
      <c r="J998" s="34"/>
      <c r="L998" s="48"/>
      <c r="M998" s="33"/>
      <c r="N998" s="33"/>
      <c r="O998" s="33"/>
      <c r="P998" s="29"/>
      <c r="Q998" s="36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</row>
    <row r="999" spans="1:50" ht="12">
      <c r="A999" s="34"/>
      <c r="B999" s="34"/>
      <c r="C999" s="34"/>
      <c r="D999" s="34"/>
      <c r="E999" s="34"/>
      <c r="F999" s="34"/>
      <c r="G999" s="34"/>
      <c r="H999" s="34"/>
      <c r="I999" s="34"/>
      <c r="J999" s="34"/>
      <c r="L999" s="48"/>
      <c r="M999" s="33"/>
      <c r="N999" s="33"/>
      <c r="O999" s="33"/>
      <c r="P999" s="29"/>
      <c r="Q999" s="36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</row>
    <row r="1000" spans="1:50" ht="12">
      <c r="A1000" s="34"/>
      <c r="B1000" s="34"/>
      <c r="C1000" s="34"/>
      <c r="D1000" s="34"/>
      <c r="E1000" s="34"/>
      <c r="F1000" s="34"/>
      <c r="G1000" s="34"/>
      <c r="H1000" s="34"/>
      <c r="I1000" s="34"/>
      <c r="J1000" s="34"/>
      <c r="L1000" s="48"/>
      <c r="M1000" s="33"/>
      <c r="N1000" s="33"/>
      <c r="O1000" s="33"/>
      <c r="P1000" s="29"/>
      <c r="Q1000" s="36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</row>
    <row r="1001" spans="1:50" ht="12">
      <c r="A1001" s="34"/>
      <c r="B1001" s="34"/>
      <c r="C1001" s="34"/>
      <c r="D1001" s="34"/>
      <c r="E1001" s="34"/>
      <c r="F1001" s="34"/>
      <c r="G1001" s="34"/>
      <c r="H1001" s="34"/>
      <c r="I1001" s="34"/>
      <c r="J1001" s="34"/>
      <c r="L1001" s="48"/>
      <c r="M1001" s="33"/>
      <c r="N1001" s="33"/>
      <c r="O1001" s="33"/>
      <c r="P1001" s="29"/>
      <c r="Q1001" s="36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</row>
    <row r="1002" spans="1:50" ht="12">
      <c r="A1002" s="34"/>
      <c r="B1002" s="34"/>
      <c r="C1002" s="34"/>
      <c r="D1002" s="34"/>
      <c r="E1002" s="34"/>
      <c r="F1002" s="34"/>
      <c r="G1002" s="34"/>
      <c r="H1002" s="34"/>
      <c r="I1002" s="34"/>
      <c r="J1002" s="34"/>
      <c r="L1002" s="48"/>
      <c r="M1002" s="33"/>
      <c r="N1002" s="33"/>
      <c r="O1002" s="33"/>
      <c r="P1002" s="29"/>
      <c r="Q1002" s="36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</row>
    <row r="1003" spans="1:50" ht="12">
      <c r="A1003" s="34"/>
      <c r="B1003" s="34"/>
      <c r="C1003" s="34"/>
      <c r="D1003" s="34"/>
      <c r="E1003" s="34"/>
      <c r="F1003" s="34"/>
      <c r="G1003" s="34"/>
      <c r="H1003" s="34"/>
      <c r="I1003" s="34"/>
      <c r="J1003" s="34"/>
      <c r="L1003" s="48"/>
      <c r="M1003" s="33"/>
      <c r="N1003" s="33"/>
      <c r="O1003" s="33"/>
      <c r="P1003" s="29"/>
      <c r="Q1003" s="36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</row>
    <row r="1004" spans="1:50" ht="12">
      <c r="A1004" s="34"/>
      <c r="B1004" s="34"/>
      <c r="C1004" s="34"/>
      <c r="D1004" s="34"/>
      <c r="E1004" s="34"/>
      <c r="F1004" s="34"/>
      <c r="G1004" s="34"/>
      <c r="H1004" s="34"/>
      <c r="I1004" s="34"/>
      <c r="J1004" s="34"/>
      <c r="L1004" s="48"/>
      <c r="M1004" s="33"/>
      <c r="N1004" s="33"/>
      <c r="O1004" s="33"/>
      <c r="P1004" s="29"/>
      <c r="Q1004" s="36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</row>
    <row r="1005" spans="1:50" ht="12">
      <c r="A1005" s="34"/>
      <c r="B1005" s="34"/>
      <c r="C1005" s="34"/>
      <c r="D1005" s="34"/>
      <c r="E1005" s="34"/>
      <c r="F1005" s="34"/>
      <c r="G1005" s="34"/>
      <c r="H1005" s="34"/>
      <c r="I1005" s="34"/>
      <c r="J1005" s="34"/>
      <c r="L1005" s="48"/>
      <c r="M1005" s="33"/>
      <c r="N1005" s="33"/>
      <c r="O1005" s="33"/>
      <c r="P1005" s="29"/>
      <c r="Q1005" s="36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</row>
    <row r="1006" spans="1:50" ht="12">
      <c r="A1006" s="34"/>
      <c r="B1006" s="34"/>
      <c r="C1006" s="34"/>
      <c r="D1006" s="34"/>
      <c r="E1006" s="34"/>
      <c r="F1006" s="34"/>
      <c r="G1006" s="34"/>
      <c r="H1006" s="34"/>
      <c r="I1006" s="34"/>
      <c r="J1006" s="34"/>
      <c r="L1006" s="48"/>
      <c r="M1006" s="33"/>
      <c r="N1006" s="33"/>
      <c r="O1006" s="33"/>
      <c r="P1006" s="29"/>
      <c r="Q1006" s="36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</row>
    <row r="1007" spans="1:50" ht="12">
      <c r="A1007" s="34"/>
      <c r="B1007" s="34"/>
      <c r="C1007" s="34"/>
      <c r="D1007" s="34"/>
      <c r="E1007" s="34"/>
      <c r="F1007" s="34"/>
      <c r="G1007" s="34"/>
      <c r="H1007" s="34"/>
      <c r="I1007" s="34"/>
      <c r="J1007" s="34"/>
      <c r="L1007" s="48"/>
      <c r="M1007" s="33"/>
      <c r="N1007" s="33"/>
      <c r="O1007" s="33"/>
      <c r="P1007" s="29"/>
      <c r="Q1007" s="36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</row>
    <row r="1008" spans="1:50" ht="12">
      <c r="A1008" s="34"/>
      <c r="B1008" s="34"/>
      <c r="C1008" s="34"/>
      <c r="D1008" s="34"/>
      <c r="E1008" s="34"/>
      <c r="F1008" s="34"/>
      <c r="G1008" s="34"/>
      <c r="H1008" s="34"/>
      <c r="I1008" s="34"/>
      <c r="J1008" s="34"/>
      <c r="L1008" s="48"/>
      <c r="M1008" s="33"/>
      <c r="N1008" s="33"/>
      <c r="O1008" s="33"/>
      <c r="P1008" s="29"/>
      <c r="Q1008" s="36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</row>
    <row r="1009" spans="1:50" ht="12">
      <c r="A1009" s="34"/>
      <c r="B1009" s="34"/>
      <c r="C1009" s="34"/>
      <c r="D1009" s="34"/>
      <c r="E1009" s="34"/>
      <c r="F1009" s="34"/>
      <c r="G1009" s="34"/>
      <c r="H1009" s="34"/>
      <c r="I1009" s="34"/>
      <c r="J1009" s="34"/>
      <c r="L1009" s="48"/>
      <c r="M1009" s="33"/>
      <c r="N1009" s="33"/>
      <c r="O1009" s="33"/>
      <c r="P1009" s="29"/>
      <c r="Q1009" s="36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</row>
    <row r="1010" spans="1:50" ht="12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L1010" s="48"/>
      <c r="M1010" s="33"/>
      <c r="N1010" s="33"/>
      <c r="O1010" s="33"/>
      <c r="P1010" s="29"/>
      <c r="Q1010" s="36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</row>
    <row r="1011" spans="1:50" ht="12">
      <c r="A1011" s="34"/>
      <c r="B1011" s="34"/>
      <c r="C1011" s="34"/>
      <c r="D1011" s="34"/>
      <c r="E1011" s="34"/>
      <c r="F1011" s="34"/>
      <c r="G1011" s="34"/>
      <c r="H1011" s="34"/>
      <c r="I1011" s="34"/>
      <c r="J1011" s="34"/>
      <c r="L1011" s="48"/>
      <c r="M1011" s="33"/>
      <c r="N1011" s="33"/>
      <c r="O1011" s="33"/>
      <c r="P1011" s="29"/>
      <c r="Q1011" s="36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</row>
    <row r="1012" spans="1:50" ht="12">
      <c r="A1012" s="34"/>
      <c r="B1012" s="34"/>
      <c r="C1012" s="34"/>
      <c r="D1012" s="34"/>
      <c r="E1012" s="34"/>
      <c r="F1012" s="34"/>
      <c r="G1012" s="34"/>
      <c r="H1012" s="34"/>
      <c r="I1012" s="34"/>
      <c r="J1012" s="34"/>
      <c r="L1012" s="48"/>
      <c r="M1012" s="33"/>
      <c r="N1012" s="33"/>
      <c r="O1012" s="33"/>
      <c r="P1012" s="29"/>
      <c r="Q1012" s="36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</row>
    <row r="1013" spans="1:50" ht="12">
      <c r="A1013" s="34"/>
      <c r="B1013" s="34"/>
      <c r="C1013" s="34"/>
      <c r="D1013" s="34"/>
      <c r="E1013" s="34"/>
      <c r="F1013" s="34"/>
      <c r="G1013" s="34"/>
      <c r="H1013" s="34"/>
      <c r="I1013" s="34"/>
      <c r="J1013" s="34"/>
      <c r="L1013" s="48"/>
      <c r="M1013" s="33"/>
      <c r="N1013" s="33"/>
      <c r="O1013" s="33"/>
      <c r="P1013" s="29"/>
      <c r="Q1013" s="36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</row>
    <row r="1014" spans="1:50" ht="12">
      <c r="A1014" s="34"/>
      <c r="B1014" s="34"/>
      <c r="C1014" s="34"/>
      <c r="D1014" s="34"/>
      <c r="E1014" s="34"/>
      <c r="F1014" s="34"/>
      <c r="G1014" s="34"/>
      <c r="H1014" s="34"/>
      <c r="I1014" s="34"/>
      <c r="J1014" s="34"/>
      <c r="L1014" s="48"/>
      <c r="M1014" s="33"/>
      <c r="N1014" s="33"/>
      <c r="O1014" s="33"/>
      <c r="P1014" s="29"/>
      <c r="Q1014" s="36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</row>
    <row r="1015" spans="1:50" ht="12">
      <c r="A1015" s="34"/>
      <c r="B1015" s="34"/>
      <c r="C1015" s="34"/>
      <c r="D1015" s="34"/>
      <c r="E1015" s="34"/>
      <c r="F1015" s="34"/>
      <c r="G1015" s="34"/>
      <c r="H1015" s="34"/>
      <c r="I1015" s="34"/>
      <c r="J1015" s="34"/>
      <c r="L1015" s="48"/>
      <c r="M1015" s="33"/>
      <c r="N1015" s="33"/>
      <c r="O1015" s="33"/>
      <c r="P1015" s="29"/>
      <c r="Q1015" s="36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</row>
    <row r="1016" spans="1:50" ht="12">
      <c r="A1016" s="34"/>
      <c r="B1016" s="34"/>
      <c r="C1016" s="34"/>
      <c r="D1016" s="34"/>
      <c r="E1016" s="34"/>
      <c r="F1016" s="34"/>
      <c r="G1016" s="34"/>
      <c r="H1016" s="34"/>
      <c r="I1016" s="34"/>
      <c r="J1016" s="34"/>
      <c r="L1016" s="48"/>
      <c r="M1016" s="33"/>
      <c r="N1016" s="33"/>
      <c r="O1016" s="33"/>
      <c r="P1016" s="29"/>
      <c r="Q1016" s="36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</row>
    <row r="1017" spans="1:50" ht="12">
      <c r="A1017" s="34"/>
      <c r="B1017" s="34"/>
      <c r="C1017" s="34"/>
      <c r="D1017" s="34"/>
      <c r="E1017" s="34"/>
      <c r="F1017" s="34"/>
      <c r="G1017" s="34"/>
      <c r="H1017" s="34"/>
      <c r="I1017" s="34"/>
      <c r="J1017" s="34"/>
      <c r="L1017" s="48"/>
      <c r="M1017" s="33"/>
      <c r="N1017" s="33"/>
      <c r="O1017" s="33"/>
      <c r="P1017" s="29"/>
      <c r="Q1017" s="36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</row>
    <row r="1018" spans="1:50" ht="12">
      <c r="A1018" s="34"/>
      <c r="B1018" s="34"/>
      <c r="C1018" s="34"/>
      <c r="D1018" s="34"/>
      <c r="E1018" s="34"/>
      <c r="F1018" s="34"/>
      <c r="G1018" s="34"/>
      <c r="H1018" s="34"/>
      <c r="I1018" s="34"/>
      <c r="J1018" s="34"/>
      <c r="L1018" s="48"/>
      <c r="M1018" s="33"/>
      <c r="N1018" s="33"/>
      <c r="O1018" s="33"/>
      <c r="P1018" s="29"/>
      <c r="Q1018" s="36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</row>
    <row r="1019" spans="1:50" ht="12">
      <c r="A1019" s="34"/>
      <c r="B1019" s="34"/>
      <c r="C1019" s="34"/>
      <c r="D1019" s="34"/>
      <c r="E1019" s="34"/>
      <c r="F1019" s="34"/>
      <c r="G1019" s="34"/>
      <c r="H1019" s="34"/>
      <c r="I1019" s="34"/>
      <c r="J1019" s="34"/>
      <c r="L1019" s="48"/>
      <c r="M1019" s="33"/>
      <c r="N1019" s="33"/>
      <c r="O1019" s="33"/>
      <c r="P1019" s="29"/>
      <c r="Q1019" s="36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</row>
    <row r="1020" spans="1:50" ht="12">
      <c r="A1020" s="34"/>
      <c r="B1020" s="34"/>
      <c r="C1020" s="34"/>
      <c r="D1020" s="34"/>
      <c r="E1020" s="34"/>
      <c r="F1020" s="34"/>
      <c r="G1020" s="34"/>
      <c r="H1020" s="34"/>
      <c r="I1020" s="34"/>
      <c r="J1020" s="34"/>
      <c r="L1020" s="48"/>
      <c r="M1020" s="33"/>
      <c r="N1020" s="33"/>
      <c r="O1020" s="33"/>
      <c r="P1020" s="29"/>
      <c r="Q1020" s="36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</row>
    <row r="1021" spans="1:50" ht="12">
      <c r="A1021" s="34"/>
      <c r="B1021" s="34"/>
      <c r="C1021" s="34"/>
      <c r="D1021" s="34"/>
      <c r="E1021" s="34"/>
      <c r="F1021" s="34"/>
      <c r="G1021" s="34"/>
      <c r="H1021" s="34"/>
      <c r="I1021" s="34"/>
      <c r="J1021" s="34"/>
      <c r="L1021" s="48"/>
      <c r="M1021" s="33"/>
      <c r="N1021" s="33"/>
      <c r="O1021" s="33"/>
      <c r="P1021" s="29"/>
      <c r="Q1021" s="36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</row>
    <row r="1022" spans="1:50" ht="12">
      <c r="A1022" s="34"/>
      <c r="B1022" s="34"/>
      <c r="C1022" s="34"/>
      <c r="D1022" s="34"/>
      <c r="E1022" s="34"/>
      <c r="F1022" s="34"/>
      <c r="G1022" s="34"/>
      <c r="H1022" s="34"/>
      <c r="I1022" s="34"/>
      <c r="J1022" s="34"/>
      <c r="L1022" s="48"/>
      <c r="M1022" s="33"/>
      <c r="N1022" s="33"/>
      <c r="O1022" s="33"/>
      <c r="P1022" s="29"/>
      <c r="Q1022" s="36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</row>
    <row r="1023" spans="1:50" ht="12">
      <c r="A1023" s="34"/>
      <c r="B1023" s="34"/>
      <c r="C1023" s="34"/>
      <c r="D1023" s="34"/>
      <c r="E1023" s="34"/>
      <c r="F1023" s="34"/>
      <c r="G1023" s="34"/>
      <c r="H1023" s="34"/>
      <c r="I1023" s="34"/>
      <c r="J1023" s="34"/>
      <c r="L1023" s="48"/>
      <c r="M1023" s="33"/>
      <c r="N1023" s="33"/>
      <c r="O1023" s="33"/>
      <c r="P1023" s="29"/>
      <c r="Q1023" s="36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</row>
    <row r="1024" spans="1:50" ht="12">
      <c r="A1024" s="34"/>
      <c r="B1024" s="34"/>
      <c r="C1024" s="34"/>
      <c r="D1024" s="34"/>
      <c r="E1024" s="34"/>
      <c r="F1024" s="34"/>
      <c r="G1024" s="34"/>
      <c r="H1024" s="34"/>
      <c r="I1024" s="34"/>
      <c r="J1024" s="34"/>
      <c r="L1024" s="48"/>
      <c r="M1024" s="33"/>
      <c r="N1024" s="33"/>
      <c r="O1024" s="33"/>
      <c r="P1024" s="29"/>
      <c r="Q1024" s="36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</row>
    <row r="1025" spans="1:50" ht="12">
      <c r="A1025" s="34"/>
      <c r="B1025" s="34"/>
      <c r="C1025" s="34"/>
      <c r="D1025" s="34"/>
      <c r="E1025" s="34"/>
      <c r="F1025" s="34"/>
      <c r="G1025" s="34"/>
      <c r="H1025" s="34"/>
      <c r="I1025" s="34"/>
      <c r="J1025" s="34"/>
      <c r="L1025" s="48"/>
      <c r="M1025" s="33"/>
      <c r="N1025" s="33"/>
      <c r="O1025" s="33"/>
      <c r="P1025" s="29"/>
      <c r="Q1025" s="36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</row>
    <row r="1026" spans="1:50" ht="12">
      <c r="A1026" s="34"/>
      <c r="B1026" s="34"/>
      <c r="C1026" s="34"/>
      <c r="D1026" s="34"/>
      <c r="E1026" s="34"/>
      <c r="F1026" s="34"/>
      <c r="G1026" s="34"/>
      <c r="H1026" s="34"/>
      <c r="I1026" s="34"/>
      <c r="J1026" s="34"/>
      <c r="L1026" s="48"/>
      <c r="M1026" s="33"/>
      <c r="N1026" s="33"/>
      <c r="O1026" s="33"/>
      <c r="P1026" s="29"/>
      <c r="Q1026" s="36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</row>
    <row r="1027" spans="1:50" ht="12">
      <c r="A1027" s="34"/>
      <c r="B1027" s="34"/>
      <c r="C1027" s="34"/>
      <c r="D1027" s="34"/>
      <c r="E1027" s="34"/>
      <c r="F1027" s="34"/>
      <c r="G1027" s="34"/>
      <c r="H1027" s="34"/>
      <c r="I1027" s="34"/>
      <c r="J1027" s="34"/>
      <c r="L1027" s="48"/>
      <c r="M1027" s="33"/>
      <c r="N1027" s="33"/>
      <c r="O1027" s="33"/>
      <c r="P1027" s="29"/>
      <c r="Q1027" s="36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</row>
    <row r="1028" spans="1:50" ht="12">
      <c r="A1028" s="34"/>
      <c r="B1028" s="34"/>
      <c r="C1028" s="34"/>
      <c r="D1028" s="34"/>
      <c r="E1028" s="34"/>
      <c r="F1028" s="34"/>
      <c r="G1028" s="34"/>
      <c r="H1028" s="34"/>
      <c r="I1028" s="34"/>
      <c r="J1028" s="34"/>
      <c r="L1028" s="48"/>
      <c r="M1028" s="33"/>
      <c r="N1028" s="33"/>
      <c r="O1028" s="33"/>
      <c r="P1028" s="29"/>
      <c r="Q1028" s="36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</row>
    <row r="1029" spans="1:50" ht="12">
      <c r="A1029" s="34"/>
      <c r="B1029" s="34"/>
      <c r="C1029" s="34"/>
      <c r="D1029" s="34"/>
      <c r="E1029" s="34"/>
      <c r="F1029" s="34"/>
      <c r="G1029" s="34"/>
      <c r="H1029" s="34"/>
      <c r="I1029" s="34"/>
      <c r="J1029" s="34"/>
      <c r="L1029" s="48"/>
      <c r="M1029" s="33"/>
      <c r="N1029" s="33"/>
      <c r="O1029" s="33"/>
      <c r="P1029" s="29"/>
      <c r="Q1029" s="36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</row>
    <row r="1030" spans="1:50" ht="12">
      <c r="A1030" s="34"/>
      <c r="B1030" s="34"/>
      <c r="C1030" s="34"/>
      <c r="D1030" s="34"/>
      <c r="E1030" s="34"/>
      <c r="F1030" s="34"/>
      <c r="G1030" s="34"/>
      <c r="H1030" s="34"/>
      <c r="I1030" s="34"/>
      <c r="J1030" s="34"/>
      <c r="L1030" s="48"/>
      <c r="M1030" s="33"/>
      <c r="N1030" s="33"/>
      <c r="O1030" s="33"/>
      <c r="P1030" s="29"/>
      <c r="Q1030" s="36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33"/>
      <c r="AI1030" s="33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</row>
    <row r="1031" spans="1:50" ht="12">
      <c r="A1031" s="34"/>
      <c r="B1031" s="34"/>
      <c r="C1031" s="34"/>
      <c r="D1031" s="34"/>
      <c r="E1031" s="34"/>
      <c r="F1031" s="34"/>
      <c r="G1031" s="34"/>
      <c r="H1031" s="34"/>
      <c r="I1031" s="34"/>
      <c r="J1031" s="34"/>
      <c r="L1031" s="48"/>
      <c r="M1031" s="33"/>
      <c r="N1031" s="33"/>
      <c r="O1031" s="33"/>
      <c r="P1031" s="29"/>
      <c r="Q1031" s="36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33"/>
      <c r="AI1031" s="33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</row>
    <row r="1032" spans="1:50" ht="12">
      <c r="A1032" s="34"/>
      <c r="B1032" s="34"/>
      <c r="C1032" s="34"/>
      <c r="D1032" s="34"/>
      <c r="E1032" s="34"/>
      <c r="F1032" s="34"/>
      <c r="G1032" s="34"/>
      <c r="H1032" s="34"/>
      <c r="I1032" s="34"/>
      <c r="J1032" s="34"/>
      <c r="L1032" s="48"/>
      <c r="M1032" s="33"/>
      <c r="N1032" s="33"/>
      <c r="O1032" s="33"/>
      <c r="P1032" s="29"/>
      <c r="Q1032" s="36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</row>
    <row r="1033" spans="1:50" ht="12">
      <c r="A1033" s="34"/>
      <c r="B1033" s="34"/>
      <c r="C1033" s="34"/>
      <c r="D1033" s="34"/>
      <c r="E1033" s="34"/>
      <c r="F1033" s="34"/>
      <c r="G1033" s="34"/>
      <c r="H1033" s="34"/>
      <c r="I1033" s="34"/>
      <c r="J1033" s="34"/>
      <c r="L1033" s="48"/>
      <c r="M1033" s="33"/>
      <c r="N1033" s="33"/>
      <c r="O1033" s="33"/>
      <c r="P1033" s="29"/>
      <c r="Q1033" s="36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</row>
    <row r="1034" spans="1:50" ht="12">
      <c r="A1034" s="34"/>
      <c r="B1034" s="34"/>
      <c r="C1034" s="34"/>
      <c r="D1034" s="34"/>
      <c r="E1034" s="34"/>
      <c r="F1034" s="34"/>
      <c r="G1034" s="34"/>
      <c r="H1034" s="34"/>
      <c r="I1034" s="34"/>
      <c r="J1034" s="34"/>
      <c r="L1034" s="48"/>
      <c r="M1034" s="33"/>
      <c r="N1034" s="33"/>
      <c r="O1034" s="33"/>
      <c r="P1034" s="29"/>
      <c r="Q1034" s="36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</row>
    <row r="1035" spans="1:50" ht="12">
      <c r="A1035" s="34"/>
      <c r="B1035" s="34"/>
      <c r="C1035" s="34"/>
      <c r="D1035" s="34"/>
      <c r="E1035" s="34"/>
      <c r="F1035" s="34"/>
      <c r="G1035" s="34"/>
      <c r="H1035" s="34"/>
      <c r="I1035" s="34"/>
      <c r="J1035" s="34"/>
      <c r="L1035" s="48"/>
      <c r="M1035" s="33"/>
      <c r="N1035" s="33"/>
      <c r="O1035" s="33"/>
      <c r="P1035" s="29"/>
      <c r="Q1035" s="36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</row>
    <row r="1036" spans="1:50" ht="12">
      <c r="A1036" s="34"/>
      <c r="B1036" s="34"/>
      <c r="C1036" s="34"/>
      <c r="D1036" s="34"/>
      <c r="E1036" s="34"/>
      <c r="F1036" s="34"/>
      <c r="G1036" s="34"/>
      <c r="H1036" s="34"/>
      <c r="I1036" s="34"/>
      <c r="J1036" s="34"/>
      <c r="L1036" s="48"/>
      <c r="M1036" s="33"/>
      <c r="N1036" s="33"/>
      <c r="O1036" s="33"/>
      <c r="P1036" s="29"/>
      <c r="Q1036" s="36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</row>
    <row r="1037" spans="1:50" ht="12">
      <c r="A1037" s="34"/>
      <c r="B1037" s="34"/>
      <c r="C1037" s="34"/>
      <c r="D1037" s="34"/>
      <c r="E1037" s="34"/>
      <c r="F1037" s="34"/>
      <c r="G1037" s="34"/>
      <c r="H1037" s="34"/>
      <c r="I1037" s="34"/>
      <c r="J1037" s="34"/>
      <c r="L1037" s="48"/>
      <c r="M1037" s="33"/>
      <c r="N1037" s="33"/>
      <c r="O1037" s="33"/>
      <c r="P1037" s="29"/>
      <c r="Q1037" s="36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</row>
    <row r="1038" spans="1:50" ht="12">
      <c r="A1038" s="34"/>
      <c r="B1038" s="34"/>
      <c r="C1038" s="34"/>
      <c r="D1038" s="34"/>
      <c r="E1038" s="34"/>
      <c r="F1038" s="34"/>
      <c r="G1038" s="34"/>
      <c r="H1038" s="34"/>
      <c r="I1038" s="34"/>
      <c r="J1038" s="34"/>
      <c r="L1038" s="48"/>
      <c r="M1038" s="33"/>
      <c r="N1038" s="33"/>
      <c r="O1038" s="33"/>
      <c r="P1038" s="29"/>
      <c r="Q1038" s="36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</row>
    <row r="1039" spans="1:50" ht="12">
      <c r="A1039" s="34"/>
      <c r="B1039" s="34"/>
      <c r="C1039" s="34"/>
      <c r="D1039" s="34"/>
      <c r="E1039" s="34"/>
      <c r="F1039" s="34"/>
      <c r="G1039" s="34"/>
      <c r="H1039" s="34"/>
      <c r="I1039" s="34"/>
      <c r="J1039" s="34"/>
      <c r="L1039" s="48"/>
      <c r="M1039" s="33"/>
      <c r="N1039" s="33"/>
      <c r="O1039" s="33"/>
      <c r="P1039" s="29"/>
      <c r="Q1039" s="36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33"/>
      <c r="AI1039" s="33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</row>
    <row r="1040" spans="1:50" ht="12">
      <c r="A1040" s="34"/>
      <c r="B1040" s="34"/>
      <c r="C1040" s="34"/>
      <c r="D1040" s="34"/>
      <c r="E1040" s="34"/>
      <c r="F1040" s="34"/>
      <c r="G1040" s="34"/>
      <c r="H1040" s="34"/>
      <c r="I1040" s="34"/>
      <c r="J1040" s="34"/>
      <c r="L1040" s="48"/>
      <c r="M1040" s="33"/>
      <c r="N1040" s="33"/>
      <c r="O1040" s="33"/>
      <c r="P1040" s="29"/>
      <c r="Q1040" s="36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33"/>
      <c r="AI1040" s="33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</row>
    <row r="1041" spans="1:50" ht="12">
      <c r="A1041" s="34"/>
      <c r="B1041" s="34"/>
      <c r="C1041" s="34"/>
      <c r="D1041" s="34"/>
      <c r="E1041" s="34"/>
      <c r="F1041" s="34"/>
      <c r="G1041" s="34"/>
      <c r="H1041" s="34"/>
      <c r="I1041" s="34"/>
      <c r="J1041" s="34"/>
      <c r="L1041" s="48"/>
      <c r="M1041" s="33"/>
      <c r="N1041" s="33"/>
      <c r="O1041" s="33"/>
      <c r="P1041" s="29"/>
      <c r="Q1041" s="36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</row>
    <row r="1042" spans="1:50" ht="12">
      <c r="A1042" s="34"/>
      <c r="B1042" s="34"/>
      <c r="C1042" s="34"/>
      <c r="D1042" s="34"/>
      <c r="E1042" s="34"/>
      <c r="F1042" s="34"/>
      <c r="G1042" s="34"/>
      <c r="H1042" s="34"/>
      <c r="I1042" s="34"/>
      <c r="J1042" s="34"/>
      <c r="L1042" s="48"/>
      <c r="M1042" s="33"/>
      <c r="N1042" s="33"/>
      <c r="O1042" s="33"/>
      <c r="P1042" s="29"/>
      <c r="Q1042" s="36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  <c r="AJ1042" s="33"/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</row>
    <row r="1043" spans="1:50" ht="12">
      <c r="A1043" s="34"/>
      <c r="B1043" s="34"/>
      <c r="C1043" s="34"/>
      <c r="D1043" s="34"/>
      <c r="E1043" s="34"/>
      <c r="F1043" s="34"/>
      <c r="G1043" s="34"/>
      <c r="H1043" s="34"/>
      <c r="I1043" s="34"/>
      <c r="J1043" s="34"/>
      <c r="L1043" s="48"/>
      <c r="M1043" s="33"/>
      <c r="N1043" s="33"/>
      <c r="O1043" s="33"/>
      <c r="P1043" s="29"/>
      <c r="Q1043" s="36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</row>
    <row r="1044" spans="1:50" ht="12">
      <c r="A1044" s="34"/>
      <c r="B1044" s="34"/>
      <c r="C1044" s="34"/>
      <c r="D1044" s="34"/>
      <c r="E1044" s="34"/>
      <c r="F1044" s="34"/>
      <c r="G1044" s="34"/>
      <c r="H1044" s="34"/>
      <c r="I1044" s="34"/>
      <c r="J1044" s="34"/>
      <c r="L1044" s="48"/>
      <c r="M1044" s="33"/>
      <c r="N1044" s="33"/>
      <c r="O1044" s="33"/>
      <c r="P1044" s="29"/>
      <c r="Q1044" s="36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</row>
    <row r="1045" spans="1:50" ht="12">
      <c r="A1045" s="34"/>
      <c r="B1045" s="34"/>
      <c r="C1045" s="34"/>
      <c r="D1045" s="34"/>
      <c r="E1045" s="34"/>
      <c r="F1045" s="34"/>
      <c r="G1045" s="34"/>
      <c r="H1045" s="34"/>
      <c r="I1045" s="34"/>
      <c r="J1045" s="34"/>
      <c r="L1045" s="48"/>
      <c r="M1045" s="33"/>
      <c r="N1045" s="33"/>
      <c r="O1045" s="33"/>
      <c r="P1045" s="29"/>
      <c r="Q1045" s="36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</row>
    <row r="1046" spans="1:50" ht="12">
      <c r="A1046" s="34"/>
      <c r="B1046" s="34"/>
      <c r="C1046" s="34"/>
      <c r="D1046" s="34"/>
      <c r="E1046" s="34"/>
      <c r="F1046" s="34"/>
      <c r="G1046" s="34"/>
      <c r="H1046" s="34"/>
      <c r="I1046" s="34"/>
      <c r="J1046" s="34"/>
      <c r="L1046" s="48"/>
      <c r="M1046" s="33"/>
      <c r="N1046" s="33"/>
      <c r="O1046" s="33"/>
      <c r="P1046" s="29"/>
      <c r="Q1046" s="36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</row>
    <row r="1047" spans="1:50" ht="12">
      <c r="A1047" s="34"/>
      <c r="B1047" s="34"/>
      <c r="C1047" s="34"/>
      <c r="D1047" s="34"/>
      <c r="E1047" s="34"/>
      <c r="F1047" s="34"/>
      <c r="G1047" s="34"/>
      <c r="H1047" s="34"/>
      <c r="I1047" s="34"/>
      <c r="J1047" s="34"/>
      <c r="L1047" s="48"/>
      <c r="M1047" s="33"/>
      <c r="N1047" s="33"/>
      <c r="O1047" s="33"/>
      <c r="P1047" s="29"/>
      <c r="Q1047" s="36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</row>
    <row r="1048" spans="1:50" ht="12">
      <c r="A1048" s="34"/>
      <c r="B1048" s="34"/>
      <c r="C1048" s="34"/>
      <c r="D1048" s="34"/>
      <c r="E1048" s="34"/>
      <c r="F1048" s="34"/>
      <c r="G1048" s="34"/>
      <c r="H1048" s="34"/>
      <c r="I1048" s="34"/>
      <c r="J1048" s="34"/>
      <c r="L1048" s="48"/>
      <c r="M1048" s="33"/>
      <c r="N1048" s="33"/>
      <c r="O1048" s="33"/>
      <c r="P1048" s="29"/>
      <c r="Q1048" s="36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</row>
    <row r="1049" spans="1:50" ht="12">
      <c r="A1049" s="34"/>
      <c r="B1049" s="34"/>
      <c r="C1049" s="34"/>
      <c r="D1049" s="34"/>
      <c r="E1049" s="34"/>
      <c r="F1049" s="34"/>
      <c r="G1049" s="34"/>
      <c r="H1049" s="34"/>
      <c r="I1049" s="34"/>
      <c r="J1049" s="34"/>
      <c r="L1049" s="48"/>
      <c r="M1049" s="33"/>
      <c r="N1049" s="33"/>
      <c r="O1049" s="33"/>
      <c r="P1049" s="29"/>
      <c r="Q1049" s="36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</row>
    <row r="1050" spans="1:50" ht="12">
      <c r="A1050" s="34"/>
      <c r="B1050" s="34"/>
      <c r="C1050" s="34"/>
      <c r="D1050" s="34"/>
      <c r="E1050" s="34"/>
      <c r="F1050" s="34"/>
      <c r="G1050" s="34"/>
      <c r="H1050" s="34"/>
      <c r="I1050" s="34"/>
      <c r="J1050" s="34"/>
      <c r="L1050" s="48"/>
      <c r="M1050" s="33"/>
      <c r="N1050" s="33"/>
      <c r="O1050" s="33"/>
      <c r="P1050" s="29"/>
      <c r="Q1050" s="36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  <c r="AJ1050" s="33"/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</row>
    <row r="1051" spans="1:50" ht="12">
      <c r="A1051" s="34"/>
      <c r="B1051" s="34"/>
      <c r="C1051" s="34"/>
      <c r="D1051" s="34"/>
      <c r="E1051" s="34"/>
      <c r="F1051" s="34"/>
      <c r="G1051" s="34"/>
      <c r="H1051" s="34"/>
      <c r="I1051" s="34"/>
      <c r="J1051" s="34"/>
      <c r="L1051" s="48"/>
      <c r="M1051" s="33"/>
      <c r="N1051" s="33"/>
      <c r="O1051" s="33"/>
      <c r="P1051" s="29"/>
      <c r="Q1051" s="36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</row>
    <row r="1052" spans="1:50" ht="12">
      <c r="A1052" s="34"/>
      <c r="B1052" s="34"/>
      <c r="C1052" s="34"/>
      <c r="D1052" s="34"/>
      <c r="E1052" s="34"/>
      <c r="F1052" s="34"/>
      <c r="G1052" s="34"/>
      <c r="H1052" s="34"/>
      <c r="I1052" s="34"/>
      <c r="J1052" s="34"/>
      <c r="L1052" s="48"/>
      <c r="M1052" s="33"/>
      <c r="N1052" s="33"/>
      <c r="O1052" s="33"/>
      <c r="P1052" s="29"/>
      <c r="Q1052" s="36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33"/>
      <c r="AI1052" s="33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</row>
    <row r="1053" spans="1:50" ht="12">
      <c r="A1053" s="34"/>
      <c r="B1053" s="34"/>
      <c r="C1053" s="34"/>
      <c r="D1053" s="34"/>
      <c r="E1053" s="34"/>
      <c r="F1053" s="34"/>
      <c r="G1053" s="34"/>
      <c r="H1053" s="34"/>
      <c r="I1053" s="34"/>
      <c r="J1053" s="34"/>
      <c r="L1053" s="48"/>
      <c r="M1053" s="33"/>
      <c r="N1053" s="33"/>
      <c r="O1053" s="33"/>
      <c r="P1053" s="29"/>
      <c r="Q1053" s="36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33"/>
      <c r="AI1053" s="33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</row>
    <row r="1054" spans="1:50" ht="12">
      <c r="A1054" s="34"/>
      <c r="B1054" s="34"/>
      <c r="C1054" s="34"/>
      <c r="D1054" s="34"/>
      <c r="E1054" s="34"/>
      <c r="F1054" s="34"/>
      <c r="G1054" s="34"/>
      <c r="H1054" s="34"/>
      <c r="I1054" s="34"/>
      <c r="J1054" s="34"/>
      <c r="L1054" s="48"/>
      <c r="M1054" s="33"/>
      <c r="N1054" s="33"/>
      <c r="O1054" s="33"/>
      <c r="P1054" s="29"/>
      <c r="Q1054" s="36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</row>
    <row r="1055" spans="1:50" ht="12">
      <c r="A1055" s="34"/>
      <c r="B1055" s="34"/>
      <c r="C1055" s="34"/>
      <c r="D1055" s="34"/>
      <c r="E1055" s="34"/>
      <c r="F1055" s="34"/>
      <c r="G1055" s="34"/>
      <c r="H1055" s="34"/>
      <c r="I1055" s="34"/>
      <c r="J1055" s="34"/>
      <c r="L1055" s="48"/>
      <c r="M1055" s="33"/>
      <c r="N1055" s="33"/>
      <c r="O1055" s="33"/>
      <c r="P1055" s="29"/>
      <c r="Q1055" s="36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</row>
    <row r="1056" spans="1:50" ht="12">
      <c r="A1056" s="34"/>
      <c r="B1056" s="34"/>
      <c r="C1056" s="34"/>
      <c r="D1056" s="34"/>
      <c r="E1056" s="34"/>
      <c r="F1056" s="34"/>
      <c r="G1056" s="34"/>
      <c r="H1056" s="34"/>
      <c r="I1056" s="34"/>
      <c r="J1056" s="34"/>
      <c r="L1056" s="48"/>
      <c r="M1056" s="33"/>
      <c r="N1056" s="33"/>
      <c r="O1056" s="33"/>
      <c r="P1056" s="29"/>
      <c r="Q1056" s="36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  <c r="AJ1056" s="33"/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</row>
    <row r="1057" spans="1:50" ht="12">
      <c r="A1057" s="34"/>
      <c r="B1057" s="34"/>
      <c r="C1057" s="34"/>
      <c r="D1057" s="34"/>
      <c r="E1057" s="34"/>
      <c r="F1057" s="34"/>
      <c r="G1057" s="34"/>
      <c r="H1057" s="34"/>
      <c r="I1057" s="34"/>
      <c r="J1057" s="34"/>
      <c r="L1057" s="48"/>
      <c r="M1057" s="33"/>
      <c r="N1057" s="33"/>
      <c r="O1057" s="33"/>
      <c r="P1057" s="29"/>
      <c r="Q1057" s="36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  <c r="AJ1057" s="33"/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</row>
    <row r="1058" spans="1:50" ht="12">
      <c r="A1058" s="34"/>
      <c r="B1058" s="34"/>
      <c r="C1058" s="34"/>
      <c r="D1058" s="34"/>
      <c r="E1058" s="34"/>
      <c r="F1058" s="34"/>
      <c r="G1058" s="34"/>
      <c r="H1058" s="34"/>
      <c r="I1058" s="34"/>
      <c r="J1058" s="34"/>
      <c r="L1058" s="48"/>
      <c r="M1058" s="33"/>
      <c r="N1058" s="33"/>
      <c r="O1058" s="33"/>
      <c r="P1058" s="29"/>
      <c r="Q1058" s="36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</row>
    <row r="1059" spans="1:50" ht="12">
      <c r="A1059" s="34"/>
      <c r="B1059" s="34"/>
      <c r="C1059" s="34"/>
      <c r="D1059" s="34"/>
      <c r="E1059" s="34"/>
      <c r="F1059" s="34"/>
      <c r="G1059" s="34"/>
      <c r="H1059" s="34"/>
      <c r="I1059" s="34"/>
      <c r="J1059" s="34"/>
      <c r="L1059" s="48"/>
      <c r="M1059" s="33"/>
      <c r="N1059" s="33"/>
      <c r="O1059" s="33"/>
      <c r="P1059" s="29"/>
      <c r="Q1059" s="36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  <c r="AJ1059" s="33"/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</row>
    <row r="1060" spans="1:50" ht="12">
      <c r="A1060" s="34"/>
      <c r="B1060" s="34"/>
      <c r="C1060" s="34"/>
      <c r="D1060" s="34"/>
      <c r="E1060" s="34"/>
      <c r="F1060" s="34"/>
      <c r="G1060" s="34"/>
      <c r="H1060" s="34"/>
      <c r="I1060" s="34"/>
      <c r="J1060" s="34"/>
      <c r="L1060" s="48"/>
      <c r="M1060" s="33"/>
      <c r="N1060" s="33"/>
      <c r="O1060" s="33"/>
      <c r="P1060" s="29"/>
      <c r="Q1060" s="36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</row>
    <row r="1061" spans="1:50" ht="12">
      <c r="A1061" s="34"/>
      <c r="B1061" s="34"/>
      <c r="C1061" s="34"/>
      <c r="D1061" s="34"/>
      <c r="E1061" s="34"/>
      <c r="F1061" s="34"/>
      <c r="G1061" s="34"/>
      <c r="H1061" s="34"/>
      <c r="I1061" s="34"/>
      <c r="J1061" s="34"/>
      <c r="L1061" s="48"/>
      <c r="M1061" s="33"/>
      <c r="N1061" s="33"/>
      <c r="O1061" s="33"/>
      <c r="P1061" s="29"/>
      <c r="Q1061" s="36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33"/>
      <c r="AI1061" s="33"/>
      <c r="AJ1061" s="33"/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</row>
    <row r="1062" spans="1:50" ht="12">
      <c r="A1062" s="34"/>
      <c r="B1062" s="34"/>
      <c r="C1062" s="34"/>
      <c r="D1062" s="34"/>
      <c r="E1062" s="34"/>
      <c r="F1062" s="34"/>
      <c r="G1062" s="34"/>
      <c r="H1062" s="34"/>
      <c r="I1062" s="34"/>
      <c r="J1062" s="34"/>
      <c r="L1062" s="48"/>
      <c r="M1062" s="33"/>
      <c r="N1062" s="33"/>
      <c r="O1062" s="33"/>
      <c r="P1062" s="29"/>
      <c r="Q1062" s="36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33"/>
      <c r="AI1062" s="33"/>
      <c r="AJ1062" s="33"/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</row>
    <row r="1063" spans="1:50" ht="12">
      <c r="A1063" s="34"/>
      <c r="B1063" s="34"/>
      <c r="C1063" s="34"/>
      <c r="D1063" s="34"/>
      <c r="E1063" s="34"/>
      <c r="F1063" s="34"/>
      <c r="G1063" s="34"/>
      <c r="H1063" s="34"/>
      <c r="I1063" s="34"/>
      <c r="J1063" s="34"/>
      <c r="L1063" s="48"/>
      <c r="M1063" s="33"/>
      <c r="N1063" s="33"/>
      <c r="O1063" s="33"/>
      <c r="P1063" s="29"/>
      <c r="Q1063" s="36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  <c r="AJ1063" s="33"/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</row>
    <row r="1064" spans="1:50" ht="12">
      <c r="A1064" s="34"/>
      <c r="B1064" s="34"/>
      <c r="C1064" s="34"/>
      <c r="D1064" s="34"/>
      <c r="E1064" s="34"/>
      <c r="F1064" s="34"/>
      <c r="G1064" s="34"/>
      <c r="H1064" s="34"/>
      <c r="I1064" s="34"/>
      <c r="J1064" s="34"/>
      <c r="L1064" s="48"/>
      <c r="M1064" s="33"/>
      <c r="N1064" s="33"/>
      <c r="O1064" s="33"/>
      <c r="P1064" s="29"/>
      <c r="Q1064" s="36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  <c r="AJ1064" s="33"/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</row>
    <row r="1065" spans="1:50" ht="12">
      <c r="A1065" s="34"/>
      <c r="B1065" s="34"/>
      <c r="C1065" s="34"/>
      <c r="D1065" s="34"/>
      <c r="E1065" s="34"/>
      <c r="F1065" s="34"/>
      <c r="G1065" s="34"/>
      <c r="H1065" s="34"/>
      <c r="I1065" s="34"/>
      <c r="J1065" s="34"/>
      <c r="L1065" s="48"/>
      <c r="M1065" s="33"/>
      <c r="N1065" s="33"/>
      <c r="O1065" s="33"/>
      <c r="P1065" s="29"/>
      <c r="Q1065" s="36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</row>
    <row r="1066" spans="1:50" ht="12">
      <c r="A1066" s="34"/>
      <c r="B1066" s="34"/>
      <c r="C1066" s="34"/>
      <c r="D1066" s="34"/>
      <c r="E1066" s="34"/>
      <c r="F1066" s="34"/>
      <c r="G1066" s="34"/>
      <c r="H1066" s="34"/>
      <c r="I1066" s="34"/>
      <c r="J1066" s="34"/>
      <c r="L1066" s="48"/>
      <c r="M1066" s="33"/>
      <c r="N1066" s="33"/>
      <c r="O1066" s="33"/>
      <c r="P1066" s="29"/>
      <c r="Q1066" s="36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</row>
    <row r="1067" spans="1:50" ht="12">
      <c r="A1067" s="34"/>
      <c r="B1067" s="34"/>
      <c r="C1067" s="34"/>
      <c r="D1067" s="34"/>
      <c r="E1067" s="34"/>
      <c r="F1067" s="34"/>
      <c r="G1067" s="34"/>
      <c r="H1067" s="34"/>
      <c r="I1067" s="34"/>
      <c r="J1067" s="34"/>
      <c r="L1067" s="48"/>
      <c r="M1067" s="33"/>
      <c r="N1067" s="33"/>
      <c r="O1067" s="33"/>
      <c r="P1067" s="29"/>
      <c r="Q1067" s="36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  <c r="AJ1067" s="33"/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</row>
    <row r="1068" spans="1:50" ht="12">
      <c r="A1068" s="34"/>
      <c r="B1068" s="34"/>
      <c r="C1068" s="34"/>
      <c r="D1068" s="34"/>
      <c r="E1068" s="34"/>
      <c r="F1068" s="34"/>
      <c r="G1068" s="34"/>
      <c r="H1068" s="34"/>
      <c r="I1068" s="34"/>
      <c r="J1068" s="34"/>
      <c r="L1068" s="48"/>
      <c r="M1068" s="33"/>
      <c r="N1068" s="33"/>
      <c r="O1068" s="33"/>
      <c r="P1068" s="29"/>
      <c r="Q1068" s="36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  <c r="AJ1068" s="33"/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</row>
    <row r="1069" spans="1:50" ht="12">
      <c r="A1069" s="34"/>
      <c r="B1069" s="34"/>
      <c r="C1069" s="34"/>
      <c r="D1069" s="34"/>
      <c r="E1069" s="34"/>
      <c r="F1069" s="34"/>
      <c r="G1069" s="34"/>
      <c r="H1069" s="34"/>
      <c r="I1069" s="34"/>
      <c r="J1069" s="34"/>
      <c r="L1069" s="48"/>
      <c r="M1069" s="33"/>
      <c r="N1069" s="33"/>
      <c r="O1069" s="33"/>
      <c r="P1069" s="29"/>
      <c r="Q1069" s="36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  <c r="AJ1069" s="33"/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</row>
    <row r="1070" spans="1:50" ht="12">
      <c r="A1070" s="34"/>
      <c r="B1070" s="34"/>
      <c r="C1070" s="34"/>
      <c r="D1070" s="34"/>
      <c r="E1070" s="34"/>
      <c r="F1070" s="34"/>
      <c r="G1070" s="34"/>
      <c r="H1070" s="34"/>
      <c r="I1070" s="34"/>
      <c r="J1070" s="34"/>
      <c r="L1070" s="48"/>
      <c r="M1070" s="33"/>
      <c r="N1070" s="33"/>
      <c r="O1070" s="33"/>
      <c r="P1070" s="29"/>
      <c r="Q1070" s="36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33"/>
      <c r="AI1070" s="33"/>
      <c r="AJ1070" s="33"/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</row>
    <row r="1071" spans="1:50" ht="12">
      <c r="A1071" s="34"/>
      <c r="B1071" s="34"/>
      <c r="C1071" s="34"/>
      <c r="D1071" s="34"/>
      <c r="E1071" s="34"/>
      <c r="F1071" s="34"/>
      <c r="G1071" s="34"/>
      <c r="H1071" s="34"/>
      <c r="I1071" s="34"/>
      <c r="J1071" s="34"/>
      <c r="L1071" s="48"/>
      <c r="M1071" s="33"/>
      <c r="N1071" s="33"/>
      <c r="O1071" s="33"/>
      <c r="P1071" s="29"/>
      <c r="Q1071" s="36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33"/>
      <c r="AI1071" s="33"/>
      <c r="AJ1071" s="33"/>
      <c r="AK1071" s="33"/>
      <c r="AL1071" s="33"/>
      <c r="AM1071" s="33"/>
      <c r="AN1071" s="33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</row>
    <row r="1072" spans="1:50" ht="12">
      <c r="A1072" s="34"/>
      <c r="B1072" s="34"/>
      <c r="C1072" s="34"/>
      <c r="D1072" s="34"/>
      <c r="E1072" s="34"/>
      <c r="F1072" s="34"/>
      <c r="G1072" s="34"/>
      <c r="H1072" s="34"/>
      <c r="I1072" s="34"/>
      <c r="J1072" s="34"/>
      <c r="L1072" s="48"/>
      <c r="M1072" s="33"/>
      <c r="N1072" s="33"/>
      <c r="O1072" s="33"/>
      <c r="P1072" s="29"/>
      <c r="Q1072" s="36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  <c r="AJ1072" s="33"/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</row>
    <row r="1073" spans="1:50" ht="12">
      <c r="A1073" s="34"/>
      <c r="B1073" s="34"/>
      <c r="C1073" s="34"/>
      <c r="D1073" s="34"/>
      <c r="E1073" s="34"/>
      <c r="F1073" s="34"/>
      <c r="G1073" s="34"/>
      <c r="H1073" s="34"/>
      <c r="I1073" s="34"/>
      <c r="J1073" s="34"/>
      <c r="L1073" s="48"/>
      <c r="M1073" s="33"/>
      <c r="N1073" s="33"/>
      <c r="O1073" s="33"/>
      <c r="P1073" s="29"/>
      <c r="Q1073" s="36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</row>
    <row r="1074" spans="1:50" ht="12">
      <c r="A1074" s="34"/>
      <c r="B1074" s="34"/>
      <c r="C1074" s="34"/>
      <c r="D1074" s="34"/>
      <c r="E1074" s="34"/>
      <c r="F1074" s="34"/>
      <c r="G1074" s="34"/>
      <c r="H1074" s="34"/>
      <c r="I1074" s="34"/>
      <c r="J1074" s="34"/>
      <c r="L1074" s="48"/>
      <c r="M1074" s="33"/>
      <c r="N1074" s="33"/>
      <c r="O1074" s="33"/>
      <c r="P1074" s="29"/>
      <c r="Q1074" s="36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</row>
    <row r="1075" spans="1:50" ht="12">
      <c r="A1075" s="34"/>
      <c r="B1075" s="34"/>
      <c r="C1075" s="34"/>
      <c r="D1075" s="34"/>
      <c r="E1075" s="34"/>
      <c r="F1075" s="34"/>
      <c r="G1075" s="34"/>
      <c r="H1075" s="34"/>
      <c r="I1075" s="34"/>
      <c r="J1075" s="34"/>
      <c r="L1075" s="48"/>
      <c r="M1075" s="33"/>
      <c r="N1075" s="33"/>
      <c r="O1075" s="33"/>
      <c r="P1075" s="29"/>
      <c r="Q1075" s="36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  <c r="AJ1075" s="33"/>
      <c r="AK1075" s="33"/>
      <c r="AL1075" s="33"/>
      <c r="AM1075" s="33"/>
      <c r="AN1075" s="33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</row>
    <row r="1076" spans="1:50" ht="12">
      <c r="A1076" s="34"/>
      <c r="B1076" s="34"/>
      <c r="C1076" s="34"/>
      <c r="D1076" s="34"/>
      <c r="E1076" s="34"/>
      <c r="F1076" s="34"/>
      <c r="G1076" s="34"/>
      <c r="H1076" s="34"/>
      <c r="I1076" s="34"/>
      <c r="J1076" s="34"/>
      <c r="L1076" s="48"/>
      <c r="M1076" s="33"/>
      <c r="N1076" s="33"/>
      <c r="O1076" s="33"/>
      <c r="P1076" s="29"/>
      <c r="Q1076" s="36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33"/>
      <c r="AI1076" s="33"/>
      <c r="AJ1076" s="33"/>
      <c r="AK1076" s="33"/>
      <c r="AL1076" s="33"/>
      <c r="AM1076" s="33"/>
      <c r="AN1076" s="33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</row>
    <row r="1077" spans="1:50" ht="12">
      <c r="A1077" s="34"/>
      <c r="B1077" s="34"/>
      <c r="C1077" s="34"/>
      <c r="D1077" s="34"/>
      <c r="E1077" s="34"/>
      <c r="F1077" s="34"/>
      <c r="G1077" s="34"/>
      <c r="H1077" s="34"/>
      <c r="I1077" s="34"/>
      <c r="J1077" s="34"/>
      <c r="L1077" s="48"/>
      <c r="M1077" s="33"/>
      <c r="N1077" s="33"/>
      <c r="O1077" s="33"/>
      <c r="P1077" s="29"/>
      <c r="Q1077" s="36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33"/>
      <c r="AI1077" s="33"/>
      <c r="AJ1077" s="33"/>
      <c r="AK1077" s="33"/>
      <c r="AL1077" s="33"/>
      <c r="AM1077" s="33"/>
      <c r="AN1077" s="33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</row>
    <row r="1078" spans="1:50" ht="12">
      <c r="A1078" s="34"/>
      <c r="B1078" s="34"/>
      <c r="C1078" s="34"/>
      <c r="D1078" s="34"/>
      <c r="E1078" s="34"/>
      <c r="F1078" s="34"/>
      <c r="G1078" s="34"/>
      <c r="H1078" s="34"/>
      <c r="I1078" s="34"/>
      <c r="J1078" s="34"/>
      <c r="L1078" s="48"/>
      <c r="M1078" s="33"/>
      <c r="N1078" s="33"/>
      <c r="O1078" s="33"/>
      <c r="P1078" s="29"/>
      <c r="Q1078" s="36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  <c r="AJ1078" s="33"/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</row>
    <row r="1079" spans="1:50" ht="12">
      <c r="A1079" s="34"/>
      <c r="B1079" s="34"/>
      <c r="C1079" s="34"/>
      <c r="D1079" s="34"/>
      <c r="E1079" s="34"/>
      <c r="F1079" s="34"/>
      <c r="G1079" s="34"/>
      <c r="H1079" s="34"/>
      <c r="I1079" s="34"/>
      <c r="J1079" s="34"/>
      <c r="L1079" s="48"/>
      <c r="M1079" s="33"/>
      <c r="N1079" s="33"/>
      <c r="O1079" s="33"/>
      <c r="P1079" s="29"/>
      <c r="Q1079" s="36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  <c r="AJ1079" s="33"/>
      <c r="AK1079" s="33"/>
      <c r="AL1079" s="33"/>
      <c r="AM1079" s="33"/>
      <c r="AN1079" s="33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</row>
    <row r="1080" spans="1:50" ht="12">
      <c r="A1080" s="34"/>
      <c r="B1080" s="34"/>
      <c r="C1080" s="34"/>
      <c r="D1080" s="34"/>
      <c r="E1080" s="34"/>
      <c r="F1080" s="34"/>
      <c r="G1080" s="34"/>
      <c r="H1080" s="34"/>
      <c r="I1080" s="34"/>
      <c r="J1080" s="34"/>
      <c r="L1080" s="48"/>
      <c r="M1080" s="33"/>
      <c r="N1080" s="33"/>
      <c r="O1080" s="33"/>
      <c r="P1080" s="29"/>
      <c r="Q1080" s="36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  <c r="AJ1080" s="33"/>
      <c r="AK1080" s="33"/>
      <c r="AL1080" s="33"/>
      <c r="AM1080" s="33"/>
      <c r="AN1080" s="33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</row>
    <row r="1081" spans="1:50" ht="12">
      <c r="A1081" s="34"/>
      <c r="B1081" s="34"/>
      <c r="C1081" s="34"/>
      <c r="D1081" s="34"/>
      <c r="E1081" s="34"/>
      <c r="F1081" s="34"/>
      <c r="G1081" s="34"/>
      <c r="H1081" s="34"/>
      <c r="I1081" s="34"/>
      <c r="J1081" s="34"/>
      <c r="L1081" s="48"/>
      <c r="M1081" s="33"/>
      <c r="N1081" s="33"/>
      <c r="O1081" s="33"/>
      <c r="P1081" s="29"/>
      <c r="Q1081" s="36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  <c r="AJ1081" s="33"/>
      <c r="AK1081" s="33"/>
      <c r="AL1081" s="33"/>
      <c r="AM1081" s="33"/>
      <c r="AN1081" s="33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</row>
    <row r="1082" spans="1:50" ht="12">
      <c r="A1082" s="34"/>
      <c r="B1082" s="34"/>
      <c r="C1082" s="34"/>
      <c r="D1082" s="34"/>
      <c r="E1082" s="34"/>
      <c r="F1082" s="34"/>
      <c r="G1082" s="34"/>
      <c r="H1082" s="34"/>
      <c r="I1082" s="34"/>
      <c r="J1082" s="34"/>
      <c r="L1082" s="48"/>
      <c r="M1082" s="33"/>
      <c r="N1082" s="33"/>
      <c r="O1082" s="33"/>
      <c r="P1082" s="29"/>
      <c r="Q1082" s="36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  <c r="AJ1082" s="33"/>
      <c r="AK1082" s="33"/>
      <c r="AL1082" s="33"/>
      <c r="AM1082" s="33"/>
      <c r="AN1082" s="33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</row>
    <row r="1083" spans="1:50" ht="12">
      <c r="A1083" s="34"/>
      <c r="B1083" s="34"/>
      <c r="C1083" s="34"/>
      <c r="D1083" s="34"/>
      <c r="E1083" s="34"/>
      <c r="F1083" s="34"/>
      <c r="G1083" s="34"/>
      <c r="H1083" s="34"/>
      <c r="I1083" s="34"/>
      <c r="J1083" s="34"/>
      <c r="L1083" s="48"/>
      <c r="M1083" s="33"/>
      <c r="N1083" s="33"/>
      <c r="O1083" s="33"/>
      <c r="P1083" s="29"/>
      <c r="Q1083" s="36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</row>
    <row r="1084" spans="1:50" ht="12">
      <c r="A1084" s="34"/>
      <c r="B1084" s="34"/>
      <c r="C1084" s="34"/>
      <c r="D1084" s="34"/>
      <c r="E1084" s="34"/>
      <c r="F1084" s="34"/>
      <c r="G1084" s="34"/>
      <c r="H1084" s="34"/>
      <c r="I1084" s="34"/>
      <c r="J1084" s="34"/>
      <c r="L1084" s="48"/>
      <c r="M1084" s="33"/>
      <c r="N1084" s="33"/>
      <c r="O1084" s="33"/>
      <c r="P1084" s="29"/>
      <c r="Q1084" s="36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  <c r="AJ1084" s="33"/>
      <c r="AK1084" s="33"/>
      <c r="AL1084" s="33"/>
      <c r="AM1084" s="33"/>
      <c r="AN1084" s="33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</row>
    <row r="1085" spans="1:50" ht="12">
      <c r="A1085" s="34"/>
      <c r="B1085" s="34"/>
      <c r="C1085" s="34"/>
      <c r="D1085" s="34"/>
      <c r="E1085" s="34"/>
      <c r="F1085" s="34"/>
      <c r="G1085" s="34"/>
      <c r="H1085" s="34"/>
      <c r="I1085" s="34"/>
      <c r="J1085" s="34"/>
      <c r="L1085" s="48"/>
      <c r="M1085" s="33"/>
      <c r="N1085" s="33"/>
      <c r="O1085" s="33"/>
      <c r="P1085" s="29"/>
      <c r="Q1085" s="36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  <c r="AJ1085" s="33"/>
      <c r="AK1085" s="33"/>
      <c r="AL1085" s="33"/>
      <c r="AM1085" s="33"/>
      <c r="AN1085" s="33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</row>
    <row r="1086" spans="1:50" ht="12">
      <c r="A1086" s="34"/>
      <c r="B1086" s="34"/>
      <c r="C1086" s="34"/>
      <c r="D1086" s="34"/>
      <c r="E1086" s="34"/>
      <c r="F1086" s="34"/>
      <c r="G1086" s="34"/>
      <c r="H1086" s="34"/>
      <c r="I1086" s="34"/>
      <c r="J1086" s="34"/>
      <c r="L1086" s="48"/>
      <c r="M1086" s="33"/>
      <c r="N1086" s="33"/>
      <c r="O1086" s="33"/>
      <c r="P1086" s="29"/>
      <c r="Q1086" s="36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</row>
    <row r="1087" spans="1:50" ht="12">
      <c r="A1087" s="34"/>
      <c r="B1087" s="34"/>
      <c r="C1087" s="34"/>
      <c r="D1087" s="34"/>
      <c r="E1087" s="34"/>
      <c r="F1087" s="34"/>
      <c r="G1087" s="34"/>
      <c r="H1087" s="34"/>
      <c r="I1087" s="34"/>
      <c r="J1087" s="34"/>
      <c r="L1087" s="48"/>
      <c r="M1087" s="33"/>
      <c r="N1087" s="33"/>
      <c r="O1087" s="33"/>
      <c r="P1087" s="29"/>
      <c r="Q1087" s="36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  <c r="AJ1087" s="33"/>
      <c r="AK1087" s="33"/>
      <c r="AL1087" s="33"/>
      <c r="AM1087" s="33"/>
      <c r="AN1087" s="33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</row>
    <row r="1088" spans="1:50" ht="12">
      <c r="A1088" s="34"/>
      <c r="B1088" s="34"/>
      <c r="C1088" s="34"/>
      <c r="D1088" s="34"/>
      <c r="E1088" s="34"/>
      <c r="F1088" s="34"/>
      <c r="G1088" s="34"/>
      <c r="H1088" s="34"/>
      <c r="I1088" s="34"/>
      <c r="J1088" s="34"/>
      <c r="L1088" s="48"/>
      <c r="M1088" s="33"/>
      <c r="N1088" s="33"/>
      <c r="O1088" s="33"/>
      <c r="P1088" s="29"/>
      <c r="Q1088" s="36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  <c r="AJ1088" s="33"/>
      <c r="AK1088" s="33"/>
      <c r="AL1088" s="33"/>
      <c r="AM1088" s="33"/>
      <c r="AN1088" s="33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</row>
    <row r="1089" spans="1:50" ht="12">
      <c r="A1089" s="34"/>
      <c r="B1089" s="34"/>
      <c r="C1089" s="34"/>
      <c r="D1089" s="34"/>
      <c r="E1089" s="34"/>
      <c r="F1089" s="34"/>
      <c r="G1089" s="34"/>
      <c r="H1089" s="34"/>
      <c r="I1089" s="34"/>
      <c r="J1089" s="34"/>
      <c r="L1089" s="48"/>
      <c r="M1089" s="33"/>
      <c r="N1089" s="33"/>
      <c r="O1089" s="33"/>
      <c r="P1089" s="29"/>
      <c r="Q1089" s="36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  <c r="AJ1089" s="33"/>
      <c r="AK1089" s="33"/>
      <c r="AL1089" s="33"/>
      <c r="AM1089" s="33"/>
      <c r="AN1089" s="33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</row>
    <row r="1090" spans="1:50" ht="12">
      <c r="A1090" s="34"/>
      <c r="B1090" s="34"/>
      <c r="C1090" s="34"/>
      <c r="D1090" s="34"/>
      <c r="E1090" s="34"/>
      <c r="F1090" s="34"/>
      <c r="G1090" s="34"/>
      <c r="H1090" s="34"/>
      <c r="I1090" s="34"/>
      <c r="J1090" s="34"/>
      <c r="L1090" s="48"/>
      <c r="M1090" s="33"/>
      <c r="N1090" s="33"/>
      <c r="O1090" s="33"/>
      <c r="P1090" s="29"/>
      <c r="Q1090" s="36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  <c r="AJ1090" s="33"/>
      <c r="AK1090" s="33"/>
      <c r="AL1090" s="33"/>
      <c r="AM1090" s="33"/>
      <c r="AN1090" s="33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</row>
    <row r="1091" spans="1:50" ht="12">
      <c r="A1091" s="34"/>
      <c r="B1091" s="34"/>
      <c r="C1091" s="34"/>
      <c r="D1091" s="34"/>
      <c r="E1091" s="34"/>
      <c r="F1091" s="34"/>
      <c r="G1091" s="34"/>
      <c r="H1091" s="34"/>
      <c r="I1091" s="34"/>
      <c r="J1091" s="34"/>
      <c r="L1091" s="48"/>
      <c r="M1091" s="33"/>
      <c r="N1091" s="33"/>
      <c r="O1091" s="33"/>
      <c r="P1091" s="29"/>
      <c r="Q1091" s="36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  <c r="AJ1091" s="33"/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</row>
    <row r="1092" spans="1:50" ht="12">
      <c r="A1092" s="34"/>
      <c r="B1092" s="34"/>
      <c r="C1092" s="34"/>
      <c r="D1092" s="34"/>
      <c r="E1092" s="34"/>
      <c r="F1092" s="34"/>
      <c r="G1092" s="34"/>
      <c r="H1092" s="34"/>
      <c r="I1092" s="34"/>
      <c r="J1092" s="34"/>
      <c r="L1092" s="48"/>
      <c r="M1092" s="33"/>
      <c r="N1092" s="33"/>
      <c r="O1092" s="33"/>
      <c r="P1092" s="29"/>
      <c r="Q1092" s="36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  <c r="AJ1092" s="33"/>
      <c r="AK1092" s="33"/>
      <c r="AL1092" s="33"/>
      <c r="AM1092" s="33"/>
      <c r="AN1092" s="33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</row>
    <row r="1093" spans="1:50" ht="12">
      <c r="A1093" s="34"/>
      <c r="B1093" s="34"/>
      <c r="C1093" s="34"/>
      <c r="D1093" s="34"/>
      <c r="E1093" s="34"/>
      <c r="F1093" s="34"/>
      <c r="G1093" s="34"/>
      <c r="H1093" s="34"/>
      <c r="I1093" s="34"/>
      <c r="J1093" s="34"/>
      <c r="L1093" s="48"/>
      <c r="M1093" s="33"/>
      <c r="N1093" s="33"/>
      <c r="O1093" s="33"/>
      <c r="P1093" s="29"/>
      <c r="Q1093" s="36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  <c r="AJ1093" s="33"/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</row>
    <row r="1094" spans="1:50" ht="12">
      <c r="A1094" s="34"/>
      <c r="B1094" s="34"/>
      <c r="C1094" s="34"/>
      <c r="D1094" s="34"/>
      <c r="E1094" s="34"/>
      <c r="F1094" s="34"/>
      <c r="G1094" s="34"/>
      <c r="H1094" s="34"/>
      <c r="I1094" s="34"/>
      <c r="J1094" s="34"/>
      <c r="L1094" s="48"/>
      <c r="M1094" s="33"/>
      <c r="N1094" s="33"/>
      <c r="O1094" s="33"/>
      <c r="P1094" s="29"/>
      <c r="Q1094" s="36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  <c r="AJ1094" s="33"/>
      <c r="AK1094" s="33"/>
      <c r="AL1094" s="33"/>
      <c r="AM1094" s="33"/>
      <c r="AN1094" s="33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</row>
    <row r="1095" spans="1:50" ht="12">
      <c r="A1095" s="34"/>
      <c r="B1095" s="34"/>
      <c r="C1095" s="34"/>
      <c r="D1095" s="34"/>
      <c r="E1095" s="34"/>
      <c r="F1095" s="34"/>
      <c r="G1095" s="34"/>
      <c r="H1095" s="34"/>
      <c r="I1095" s="34"/>
      <c r="J1095" s="34"/>
      <c r="L1095" s="48"/>
      <c r="M1095" s="33"/>
      <c r="N1095" s="33"/>
      <c r="O1095" s="33"/>
      <c r="P1095" s="29"/>
      <c r="Q1095" s="36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  <c r="AJ1095" s="33"/>
      <c r="AK1095" s="33"/>
      <c r="AL1095" s="33"/>
      <c r="AM1095" s="33"/>
      <c r="AN1095" s="33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</row>
    <row r="1096" spans="1:50" ht="12">
      <c r="A1096" s="34"/>
      <c r="B1096" s="34"/>
      <c r="C1096" s="34"/>
      <c r="D1096" s="34"/>
      <c r="E1096" s="34"/>
      <c r="F1096" s="34"/>
      <c r="G1096" s="34"/>
      <c r="H1096" s="34"/>
      <c r="I1096" s="34"/>
      <c r="J1096" s="34"/>
      <c r="L1096" s="48"/>
      <c r="M1096" s="33"/>
      <c r="N1096" s="33"/>
      <c r="O1096" s="33"/>
      <c r="P1096" s="29"/>
      <c r="Q1096" s="36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  <c r="AJ1096" s="33"/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</row>
    <row r="1097" spans="1:50" ht="12">
      <c r="A1097" s="34"/>
      <c r="B1097" s="34"/>
      <c r="C1097" s="34"/>
      <c r="D1097" s="34"/>
      <c r="E1097" s="34"/>
      <c r="F1097" s="34"/>
      <c r="G1097" s="34"/>
      <c r="H1097" s="34"/>
      <c r="I1097" s="34"/>
      <c r="J1097" s="34"/>
      <c r="L1097" s="48"/>
      <c r="M1097" s="33"/>
      <c r="N1097" s="33"/>
      <c r="O1097" s="33"/>
      <c r="P1097" s="29"/>
      <c r="Q1097" s="36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  <c r="AJ1097" s="33"/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</row>
    <row r="1098" spans="1:50" ht="12">
      <c r="A1098" s="34"/>
      <c r="B1098" s="34"/>
      <c r="C1098" s="34"/>
      <c r="D1098" s="34"/>
      <c r="E1098" s="34"/>
      <c r="F1098" s="34"/>
      <c r="G1098" s="34"/>
      <c r="H1098" s="34"/>
      <c r="I1098" s="34"/>
      <c r="J1098" s="34"/>
      <c r="L1098" s="48"/>
      <c r="M1098" s="33"/>
      <c r="N1098" s="33"/>
      <c r="O1098" s="33"/>
      <c r="P1098" s="29"/>
      <c r="Q1098" s="36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33"/>
      <c r="AI1098" s="33"/>
      <c r="AJ1098" s="33"/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</row>
    <row r="1099" spans="1:50" ht="12">
      <c r="A1099" s="34"/>
      <c r="B1099" s="34"/>
      <c r="C1099" s="34"/>
      <c r="D1099" s="34"/>
      <c r="E1099" s="34"/>
      <c r="F1099" s="34"/>
      <c r="G1099" s="34"/>
      <c r="H1099" s="34"/>
      <c r="I1099" s="34"/>
      <c r="J1099" s="34"/>
      <c r="L1099" s="48"/>
      <c r="M1099" s="33"/>
      <c r="N1099" s="33"/>
      <c r="O1099" s="33"/>
      <c r="P1099" s="29"/>
      <c r="Q1099" s="36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33"/>
      <c r="AI1099" s="33"/>
      <c r="AJ1099" s="33"/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</row>
    <row r="1100" spans="1:50" ht="12">
      <c r="A1100" s="34"/>
      <c r="B1100" s="34"/>
      <c r="C1100" s="34"/>
      <c r="D1100" s="34"/>
      <c r="E1100" s="34"/>
      <c r="F1100" s="34"/>
      <c r="G1100" s="34"/>
      <c r="H1100" s="34"/>
      <c r="I1100" s="34"/>
      <c r="J1100" s="34"/>
      <c r="L1100" s="48"/>
      <c r="M1100" s="33"/>
      <c r="N1100" s="33"/>
      <c r="O1100" s="33"/>
      <c r="P1100" s="29"/>
      <c r="Q1100" s="36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  <c r="AJ1100" s="33"/>
      <c r="AK1100" s="33"/>
      <c r="AL1100" s="33"/>
      <c r="AM1100" s="33"/>
      <c r="AN1100" s="33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</row>
    <row r="1101" spans="1:50" ht="12">
      <c r="A1101" s="34"/>
      <c r="B1101" s="34"/>
      <c r="C1101" s="34"/>
      <c r="D1101" s="34"/>
      <c r="E1101" s="34"/>
      <c r="F1101" s="34"/>
      <c r="G1101" s="34"/>
      <c r="H1101" s="34"/>
      <c r="I1101" s="34"/>
      <c r="J1101" s="34"/>
      <c r="L1101" s="48"/>
      <c r="M1101" s="33"/>
      <c r="N1101" s="33"/>
      <c r="O1101" s="33"/>
      <c r="P1101" s="29"/>
      <c r="Q1101" s="36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  <c r="AJ1101" s="33"/>
      <c r="AK1101" s="33"/>
      <c r="AL1101" s="33"/>
      <c r="AM1101" s="33"/>
      <c r="AN1101" s="33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</row>
    <row r="1102" spans="1:50" ht="12">
      <c r="A1102" s="34"/>
      <c r="B1102" s="34"/>
      <c r="C1102" s="34"/>
      <c r="D1102" s="34"/>
      <c r="E1102" s="34"/>
      <c r="F1102" s="34"/>
      <c r="G1102" s="34"/>
      <c r="H1102" s="34"/>
      <c r="I1102" s="34"/>
      <c r="J1102" s="34"/>
      <c r="L1102" s="48"/>
      <c r="M1102" s="33"/>
      <c r="N1102" s="33"/>
      <c r="O1102" s="33"/>
      <c r="P1102" s="29"/>
      <c r="Q1102" s="36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  <c r="AJ1102" s="33"/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</row>
    <row r="1103" spans="1:50" ht="12">
      <c r="A1103" s="34"/>
      <c r="B1103" s="34"/>
      <c r="C1103" s="34"/>
      <c r="D1103" s="34"/>
      <c r="E1103" s="34"/>
      <c r="F1103" s="34"/>
      <c r="G1103" s="34"/>
      <c r="H1103" s="34"/>
      <c r="I1103" s="34"/>
      <c r="J1103" s="34"/>
      <c r="L1103" s="48"/>
      <c r="M1103" s="33"/>
      <c r="N1103" s="33"/>
      <c r="O1103" s="33"/>
      <c r="P1103" s="29"/>
      <c r="Q1103" s="36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</row>
    <row r="1104" spans="1:50" ht="12">
      <c r="A1104" s="34"/>
      <c r="B1104" s="34"/>
      <c r="C1104" s="34"/>
      <c r="D1104" s="34"/>
      <c r="E1104" s="34"/>
      <c r="F1104" s="34"/>
      <c r="G1104" s="34"/>
      <c r="H1104" s="34"/>
      <c r="I1104" s="34"/>
      <c r="J1104" s="34"/>
      <c r="L1104" s="48"/>
      <c r="M1104" s="33"/>
      <c r="N1104" s="33"/>
      <c r="O1104" s="33"/>
      <c r="P1104" s="29"/>
      <c r="Q1104" s="36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</row>
    <row r="1105" spans="1:50" ht="12">
      <c r="A1105" s="34"/>
      <c r="B1105" s="34"/>
      <c r="C1105" s="34"/>
      <c r="D1105" s="34"/>
      <c r="E1105" s="34"/>
      <c r="F1105" s="34"/>
      <c r="G1105" s="34"/>
      <c r="H1105" s="34"/>
      <c r="I1105" s="34"/>
      <c r="J1105" s="34"/>
      <c r="L1105" s="48"/>
      <c r="M1105" s="33"/>
      <c r="N1105" s="33"/>
      <c r="O1105" s="33"/>
      <c r="P1105" s="29"/>
      <c r="Q1105" s="36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</row>
    <row r="1106" spans="1:50" ht="12">
      <c r="A1106" s="34"/>
      <c r="B1106" s="34"/>
      <c r="C1106" s="34"/>
      <c r="D1106" s="34"/>
      <c r="E1106" s="34"/>
      <c r="F1106" s="34"/>
      <c r="G1106" s="34"/>
      <c r="H1106" s="34"/>
      <c r="I1106" s="34"/>
      <c r="J1106" s="34"/>
      <c r="L1106" s="48"/>
      <c r="M1106" s="33"/>
      <c r="N1106" s="33"/>
      <c r="O1106" s="33"/>
      <c r="P1106" s="29"/>
      <c r="Q1106" s="36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  <c r="AJ1106" s="33"/>
      <c r="AK1106" s="33"/>
      <c r="AL1106" s="33"/>
      <c r="AM1106" s="33"/>
      <c r="AN1106" s="33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</row>
    <row r="1107" spans="1:50" ht="12">
      <c r="A1107" s="34"/>
      <c r="B1107" s="34"/>
      <c r="C1107" s="34"/>
      <c r="D1107" s="34"/>
      <c r="E1107" s="34"/>
      <c r="F1107" s="34"/>
      <c r="G1107" s="34"/>
      <c r="H1107" s="34"/>
      <c r="I1107" s="34"/>
      <c r="J1107" s="34"/>
      <c r="L1107" s="48"/>
      <c r="M1107" s="33"/>
      <c r="N1107" s="33"/>
      <c r="O1107" s="33"/>
      <c r="P1107" s="29"/>
      <c r="Q1107" s="36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</row>
    <row r="1108" spans="1:50" ht="12">
      <c r="A1108" s="34"/>
      <c r="B1108" s="34"/>
      <c r="C1108" s="34"/>
      <c r="D1108" s="34"/>
      <c r="E1108" s="34"/>
      <c r="F1108" s="34"/>
      <c r="G1108" s="34"/>
      <c r="H1108" s="34"/>
      <c r="I1108" s="34"/>
      <c r="J1108" s="34"/>
      <c r="L1108" s="48"/>
      <c r="M1108" s="33"/>
      <c r="N1108" s="33"/>
      <c r="O1108" s="33"/>
      <c r="P1108" s="29"/>
      <c r="Q1108" s="36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  <c r="AJ1108" s="33"/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</row>
    <row r="1109" spans="1:50" ht="12">
      <c r="A1109" s="34"/>
      <c r="B1109" s="34"/>
      <c r="C1109" s="34"/>
      <c r="D1109" s="34"/>
      <c r="E1109" s="34"/>
      <c r="F1109" s="34"/>
      <c r="G1109" s="34"/>
      <c r="H1109" s="34"/>
      <c r="I1109" s="34"/>
      <c r="J1109" s="34"/>
      <c r="L1109" s="48"/>
      <c r="M1109" s="33"/>
      <c r="N1109" s="33"/>
      <c r="O1109" s="33"/>
      <c r="P1109" s="29"/>
      <c r="Q1109" s="36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  <c r="AJ1109" s="33"/>
      <c r="AK1109" s="33"/>
      <c r="AL1109" s="33"/>
      <c r="AM1109" s="33"/>
      <c r="AN1109" s="33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</row>
    <row r="1110" spans="1:50" ht="12">
      <c r="A1110" s="34"/>
      <c r="B1110" s="34"/>
      <c r="C1110" s="34"/>
      <c r="D1110" s="34"/>
      <c r="E1110" s="34"/>
      <c r="F1110" s="34"/>
      <c r="G1110" s="34"/>
      <c r="H1110" s="34"/>
      <c r="I1110" s="34"/>
      <c r="J1110" s="34"/>
      <c r="L1110" s="48"/>
      <c r="M1110" s="33"/>
      <c r="N1110" s="33"/>
      <c r="O1110" s="33"/>
      <c r="P1110" s="29"/>
      <c r="Q1110" s="36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  <c r="AJ1110" s="33"/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</row>
    <row r="1111" spans="1:50" ht="12">
      <c r="A1111" s="34"/>
      <c r="B1111" s="34"/>
      <c r="C1111" s="34"/>
      <c r="D1111" s="34"/>
      <c r="E1111" s="34"/>
      <c r="F1111" s="34"/>
      <c r="G1111" s="34"/>
      <c r="H1111" s="34"/>
      <c r="I1111" s="34"/>
      <c r="J1111" s="34"/>
      <c r="L1111" s="48"/>
      <c r="M1111" s="33"/>
      <c r="N1111" s="33"/>
      <c r="O1111" s="33"/>
      <c r="P1111" s="29"/>
      <c r="Q1111" s="36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  <c r="AJ1111" s="33"/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</row>
    <row r="1112" spans="1:50" ht="12">
      <c r="A1112" s="34"/>
      <c r="B1112" s="34"/>
      <c r="C1112" s="34"/>
      <c r="D1112" s="34"/>
      <c r="E1112" s="34"/>
      <c r="F1112" s="34"/>
      <c r="G1112" s="34"/>
      <c r="H1112" s="34"/>
      <c r="I1112" s="34"/>
      <c r="J1112" s="34"/>
      <c r="L1112" s="48"/>
      <c r="M1112" s="33"/>
      <c r="N1112" s="33"/>
      <c r="O1112" s="33"/>
      <c r="P1112" s="29"/>
      <c r="Q1112" s="36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</row>
    <row r="1113" spans="1:50" ht="12">
      <c r="A1113" s="34"/>
      <c r="B1113" s="34"/>
      <c r="C1113" s="34"/>
      <c r="D1113" s="34"/>
      <c r="E1113" s="34"/>
      <c r="F1113" s="34"/>
      <c r="G1113" s="34"/>
      <c r="H1113" s="34"/>
      <c r="I1113" s="34"/>
      <c r="J1113" s="34"/>
      <c r="L1113" s="48"/>
      <c r="M1113" s="33"/>
      <c r="N1113" s="33"/>
      <c r="O1113" s="33"/>
      <c r="P1113" s="29"/>
      <c r="Q1113" s="36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  <c r="AJ1113" s="33"/>
      <c r="AK1113" s="33"/>
      <c r="AL1113" s="33"/>
      <c r="AM1113" s="33"/>
      <c r="AN1113" s="33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</row>
    <row r="1114" spans="1:50" ht="12">
      <c r="A1114" s="34"/>
      <c r="B1114" s="34"/>
      <c r="C1114" s="34"/>
      <c r="D1114" s="34"/>
      <c r="E1114" s="34"/>
      <c r="F1114" s="34"/>
      <c r="G1114" s="34"/>
      <c r="H1114" s="34"/>
      <c r="I1114" s="34"/>
      <c r="J1114" s="34"/>
      <c r="L1114" s="48"/>
      <c r="M1114" s="33"/>
      <c r="N1114" s="33"/>
      <c r="O1114" s="33"/>
      <c r="P1114" s="29"/>
      <c r="Q1114" s="36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  <c r="AJ1114" s="33"/>
      <c r="AK1114" s="33"/>
      <c r="AL1114" s="33"/>
      <c r="AM1114" s="33"/>
      <c r="AN1114" s="33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</row>
    <row r="1115" spans="1:50" ht="12">
      <c r="A1115" s="34"/>
      <c r="B1115" s="34"/>
      <c r="C1115" s="34"/>
      <c r="D1115" s="34"/>
      <c r="E1115" s="34"/>
      <c r="F1115" s="34"/>
      <c r="G1115" s="34"/>
      <c r="H1115" s="34"/>
      <c r="I1115" s="34"/>
      <c r="J1115" s="34"/>
      <c r="L1115" s="48"/>
      <c r="M1115" s="33"/>
      <c r="N1115" s="33"/>
      <c r="O1115" s="33"/>
      <c r="P1115" s="29"/>
      <c r="Q1115" s="36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  <c r="AJ1115" s="33"/>
      <c r="AK1115" s="33"/>
      <c r="AL1115" s="33"/>
      <c r="AM1115" s="33"/>
      <c r="AN1115" s="33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</row>
    <row r="1116" spans="1:50" ht="12">
      <c r="A1116" s="34"/>
      <c r="B1116" s="34"/>
      <c r="C1116" s="34"/>
      <c r="D1116" s="34"/>
      <c r="E1116" s="34"/>
      <c r="F1116" s="34"/>
      <c r="G1116" s="34"/>
      <c r="H1116" s="34"/>
      <c r="I1116" s="34"/>
      <c r="J1116" s="34"/>
      <c r="L1116" s="48"/>
      <c r="M1116" s="33"/>
      <c r="N1116" s="33"/>
      <c r="O1116" s="33"/>
      <c r="P1116" s="29"/>
      <c r="Q1116" s="36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  <c r="AJ1116" s="33"/>
      <c r="AK1116" s="33"/>
      <c r="AL1116" s="33"/>
      <c r="AM1116" s="33"/>
      <c r="AN1116" s="33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</row>
    <row r="1117" spans="1:50" ht="12">
      <c r="A1117" s="34"/>
      <c r="B1117" s="34"/>
      <c r="C1117" s="34"/>
      <c r="D1117" s="34"/>
      <c r="E1117" s="34"/>
      <c r="F1117" s="34"/>
      <c r="G1117" s="34"/>
      <c r="H1117" s="34"/>
      <c r="I1117" s="34"/>
      <c r="J1117" s="34"/>
      <c r="L1117" s="48"/>
      <c r="M1117" s="33"/>
      <c r="N1117" s="33"/>
      <c r="O1117" s="33"/>
      <c r="P1117" s="29"/>
      <c r="Q1117" s="36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  <c r="AJ1117" s="33"/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</row>
    <row r="1118" spans="1:50" ht="12">
      <c r="A1118" s="34"/>
      <c r="B1118" s="34"/>
      <c r="C1118" s="34"/>
      <c r="D1118" s="34"/>
      <c r="E1118" s="34"/>
      <c r="F1118" s="34"/>
      <c r="G1118" s="34"/>
      <c r="H1118" s="34"/>
      <c r="I1118" s="34"/>
      <c r="J1118" s="34"/>
      <c r="L1118" s="48"/>
      <c r="M1118" s="33"/>
      <c r="N1118" s="33"/>
      <c r="O1118" s="33"/>
      <c r="P1118" s="29"/>
      <c r="Q1118" s="36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  <c r="AJ1118" s="33"/>
      <c r="AK1118" s="33"/>
      <c r="AL1118" s="33"/>
      <c r="AM1118" s="33"/>
      <c r="AN1118" s="33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</row>
    <row r="1119" spans="1:50" ht="12">
      <c r="A1119" s="34"/>
      <c r="B1119" s="34"/>
      <c r="C1119" s="34"/>
      <c r="D1119" s="34"/>
      <c r="E1119" s="34"/>
      <c r="F1119" s="34"/>
      <c r="G1119" s="34"/>
      <c r="H1119" s="34"/>
      <c r="I1119" s="34"/>
      <c r="J1119" s="34"/>
      <c r="L1119" s="48"/>
      <c r="M1119" s="33"/>
      <c r="N1119" s="33"/>
      <c r="O1119" s="33"/>
      <c r="P1119" s="29"/>
      <c r="Q1119" s="36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33"/>
      <c r="AI1119" s="33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</row>
    <row r="1120" spans="1:50" ht="12">
      <c r="A1120" s="34"/>
      <c r="B1120" s="34"/>
      <c r="C1120" s="34"/>
      <c r="D1120" s="34"/>
      <c r="E1120" s="34"/>
      <c r="F1120" s="34"/>
      <c r="G1120" s="34"/>
      <c r="H1120" s="34"/>
      <c r="I1120" s="34"/>
      <c r="J1120" s="34"/>
      <c r="L1120" s="48"/>
      <c r="M1120" s="33"/>
      <c r="N1120" s="33"/>
      <c r="O1120" s="33"/>
      <c r="P1120" s="29"/>
      <c r="Q1120" s="36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33"/>
      <c r="AI1120" s="33"/>
      <c r="AJ1120" s="33"/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</row>
    <row r="1121" spans="1:50" ht="12">
      <c r="A1121" s="34"/>
      <c r="B1121" s="34"/>
      <c r="C1121" s="34"/>
      <c r="D1121" s="34"/>
      <c r="E1121" s="34"/>
      <c r="F1121" s="34"/>
      <c r="G1121" s="34"/>
      <c r="H1121" s="34"/>
      <c r="I1121" s="34"/>
      <c r="J1121" s="34"/>
      <c r="L1121" s="48"/>
      <c r="M1121" s="33"/>
      <c r="N1121" s="33"/>
      <c r="O1121" s="33"/>
      <c r="P1121" s="29"/>
      <c r="Q1121" s="36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  <c r="AJ1121" s="33"/>
      <c r="AK1121" s="33"/>
      <c r="AL1121" s="33"/>
      <c r="AM1121" s="33"/>
      <c r="AN1121" s="33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</row>
    <row r="1122" spans="1:50" ht="12">
      <c r="A1122" s="34"/>
      <c r="B1122" s="34"/>
      <c r="C1122" s="34"/>
      <c r="D1122" s="34"/>
      <c r="E1122" s="34"/>
      <c r="F1122" s="34"/>
      <c r="G1122" s="34"/>
      <c r="H1122" s="34"/>
      <c r="I1122" s="34"/>
      <c r="J1122" s="34"/>
      <c r="L1122" s="48"/>
      <c r="M1122" s="33"/>
      <c r="N1122" s="33"/>
      <c r="O1122" s="33"/>
      <c r="P1122" s="29"/>
      <c r="Q1122" s="36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  <c r="AJ1122" s="33"/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</row>
    <row r="1123" spans="1:50" ht="12">
      <c r="A1123" s="34"/>
      <c r="B1123" s="34"/>
      <c r="C1123" s="34"/>
      <c r="D1123" s="34"/>
      <c r="E1123" s="34"/>
      <c r="F1123" s="34"/>
      <c r="G1123" s="34"/>
      <c r="H1123" s="34"/>
      <c r="I1123" s="34"/>
      <c r="J1123" s="34"/>
      <c r="L1123" s="48"/>
      <c r="M1123" s="33"/>
      <c r="N1123" s="33"/>
      <c r="O1123" s="33"/>
      <c r="P1123" s="29"/>
      <c r="Q1123" s="36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</row>
    <row r="1124" spans="1:50" ht="12">
      <c r="A1124" s="34"/>
      <c r="B1124" s="34"/>
      <c r="C1124" s="34"/>
      <c r="D1124" s="34"/>
      <c r="E1124" s="34"/>
      <c r="F1124" s="34"/>
      <c r="G1124" s="34"/>
      <c r="H1124" s="34"/>
      <c r="I1124" s="34"/>
      <c r="J1124" s="34"/>
      <c r="L1124" s="48"/>
      <c r="M1124" s="33"/>
      <c r="N1124" s="33"/>
      <c r="O1124" s="33"/>
      <c r="P1124" s="29"/>
      <c r="Q1124" s="36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  <c r="AJ1124" s="33"/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</row>
    <row r="1125" spans="1:50" ht="12">
      <c r="A1125" s="34"/>
      <c r="B1125" s="34"/>
      <c r="C1125" s="34"/>
      <c r="D1125" s="34"/>
      <c r="E1125" s="34"/>
      <c r="F1125" s="34"/>
      <c r="G1125" s="34"/>
      <c r="H1125" s="34"/>
      <c r="I1125" s="34"/>
      <c r="J1125" s="34"/>
      <c r="L1125" s="48"/>
      <c r="M1125" s="33"/>
      <c r="N1125" s="33"/>
      <c r="O1125" s="33"/>
      <c r="P1125" s="29"/>
      <c r="Q1125" s="36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  <c r="AJ1125" s="33"/>
      <c r="AK1125" s="33"/>
      <c r="AL1125" s="33"/>
      <c r="AM1125" s="33"/>
      <c r="AN1125" s="33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</row>
    <row r="1126" spans="1:50" ht="12">
      <c r="A1126" s="34"/>
      <c r="B1126" s="34"/>
      <c r="C1126" s="34"/>
      <c r="D1126" s="34"/>
      <c r="E1126" s="34"/>
      <c r="F1126" s="34"/>
      <c r="G1126" s="34"/>
      <c r="H1126" s="34"/>
      <c r="I1126" s="34"/>
      <c r="J1126" s="34"/>
      <c r="L1126" s="48"/>
      <c r="M1126" s="33"/>
      <c r="N1126" s="33"/>
      <c r="O1126" s="33"/>
      <c r="P1126" s="29"/>
      <c r="Q1126" s="36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  <c r="AJ1126" s="33"/>
      <c r="AK1126" s="33"/>
      <c r="AL1126" s="33"/>
      <c r="AM1126" s="33"/>
      <c r="AN1126" s="33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</row>
    <row r="1127" spans="1:50" ht="12">
      <c r="A1127" s="34"/>
      <c r="B1127" s="34"/>
      <c r="C1127" s="34"/>
      <c r="D1127" s="34"/>
      <c r="E1127" s="34"/>
      <c r="F1127" s="34"/>
      <c r="G1127" s="34"/>
      <c r="H1127" s="34"/>
      <c r="I1127" s="34"/>
      <c r="J1127" s="34"/>
      <c r="L1127" s="48"/>
      <c r="M1127" s="33"/>
      <c r="N1127" s="33"/>
      <c r="O1127" s="33"/>
      <c r="P1127" s="29"/>
      <c r="Q1127" s="36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  <c r="AJ1127" s="33"/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</row>
    <row r="1128" spans="1:50" ht="12">
      <c r="A1128" s="34"/>
      <c r="B1128" s="34"/>
      <c r="C1128" s="34"/>
      <c r="D1128" s="34"/>
      <c r="E1128" s="34"/>
      <c r="F1128" s="34"/>
      <c r="G1128" s="34"/>
      <c r="H1128" s="34"/>
      <c r="I1128" s="34"/>
      <c r="J1128" s="34"/>
      <c r="L1128" s="48"/>
      <c r="M1128" s="33"/>
      <c r="N1128" s="33"/>
      <c r="O1128" s="33"/>
      <c r="P1128" s="29"/>
      <c r="Q1128" s="36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  <c r="AJ1128" s="33"/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</row>
    <row r="1129" spans="1:50" ht="12">
      <c r="A1129" s="34"/>
      <c r="B1129" s="34"/>
      <c r="C1129" s="34"/>
      <c r="D1129" s="34"/>
      <c r="E1129" s="34"/>
      <c r="F1129" s="34"/>
      <c r="G1129" s="34"/>
      <c r="H1129" s="34"/>
      <c r="I1129" s="34"/>
      <c r="J1129" s="34"/>
      <c r="L1129" s="48"/>
      <c r="M1129" s="33"/>
      <c r="N1129" s="33"/>
      <c r="O1129" s="33"/>
      <c r="P1129" s="29"/>
      <c r="Q1129" s="36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33"/>
      <c r="AI1129" s="33"/>
      <c r="AJ1129" s="33"/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</row>
    <row r="1130" spans="1:50" ht="12">
      <c r="A1130" s="34"/>
      <c r="B1130" s="34"/>
      <c r="C1130" s="34"/>
      <c r="D1130" s="34"/>
      <c r="E1130" s="34"/>
      <c r="F1130" s="34"/>
      <c r="G1130" s="34"/>
      <c r="H1130" s="34"/>
      <c r="I1130" s="34"/>
      <c r="J1130" s="34"/>
      <c r="L1130" s="48"/>
      <c r="M1130" s="33"/>
      <c r="N1130" s="33"/>
      <c r="O1130" s="33"/>
      <c r="P1130" s="29"/>
      <c r="Q1130" s="36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33"/>
      <c r="AI1130" s="33"/>
      <c r="AJ1130" s="33"/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</row>
    <row r="1131" spans="1:50" ht="12">
      <c r="A1131" s="34"/>
      <c r="B1131" s="34"/>
      <c r="C1131" s="34"/>
      <c r="D1131" s="34"/>
      <c r="E1131" s="34"/>
      <c r="F1131" s="34"/>
      <c r="G1131" s="34"/>
      <c r="H1131" s="34"/>
      <c r="I1131" s="34"/>
      <c r="J1131" s="34"/>
      <c r="L1131" s="48"/>
      <c r="M1131" s="33"/>
      <c r="N1131" s="33"/>
      <c r="O1131" s="33"/>
      <c r="P1131" s="29"/>
      <c r="Q1131" s="36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  <c r="AJ1131" s="33"/>
      <c r="AK1131" s="33"/>
      <c r="AL1131" s="33"/>
      <c r="AM1131" s="33"/>
      <c r="AN1131" s="33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</row>
    <row r="1132" spans="1:50" ht="12">
      <c r="A1132" s="34"/>
      <c r="B1132" s="34"/>
      <c r="C1132" s="34"/>
      <c r="D1132" s="34"/>
      <c r="E1132" s="34"/>
      <c r="F1132" s="34"/>
      <c r="G1132" s="34"/>
      <c r="H1132" s="34"/>
      <c r="I1132" s="34"/>
      <c r="J1132" s="34"/>
      <c r="L1132" s="48"/>
      <c r="M1132" s="33"/>
      <c r="N1132" s="33"/>
      <c r="O1132" s="33"/>
      <c r="P1132" s="29"/>
      <c r="Q1132" s="36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  <c r="AJ1132" s="33"/>
      <c r="AK1132" s="33"/>
      <c r="AL1132" s="33"/>
      <c r="AM1132" s="33"/>
      <c r="AN1132" s="33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</row>
    <row r="1133" spans="1:50" ht="12">
      <c r="A1133" s="34"/>
      <c r="B1133" s="34"/>
      <c r="C1133" s="34"/>
      <c r="D1133" s="34"/>
      <c r="E1133" s="34"/>
      <c r="F1133" s="34"/>
      <c r="G1133" s="34"/>
      <c r="H1133" s="34"/>
      <c r="I1133" s="34"/>
      <c r="J1133" s="34"/>
      <c r="L1133" s="48"/>
      <c r="M1133" s="33"/>
      <c r="N1133" s="33"/>
      <c r="O1133" s="33"/>
      <c r="P1133" s="29"/>
      <c r="Q1133" s="36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  <c r="AJ1133" s="33"/>
      <c r="AK1133" s="33"/>
      <c r="AL1133" s="33"/>
      <c r="AM1133" s="33"/>
      <c r="AN1133" s="33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</row>
    <row r="1134" spans="1:50" ht="12">
      <c r="A1134" s="34"/>
      <c r="B1134" s="34"/>
      <c r="C1134" s="34"/>
      <c r="D1134" s="34"/>
      <c r="E1134" s="34"/>
      <c r="F1134" s="34"/>
      <c r="G1134" s="34"/>
      <c r="H1134" s="34"/>
      <c r="I1134" s="34"/>
      <c r="J1134" s="34"/>
      <c r="L1134" s="48"/>
      <c r="M1134" s="33"/>
      <c r="N1134" s="33"/>
      <c r="O1134" s="33"/>
      <c r="P1134" s="29"/>
      <c r="Q1134" s="36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33"/>
      <c r="AI1134" s="33"/>
      <c r="AJ1134" s="33"/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</row>
    <row r="1135" spans="1:50" ht="12">
      <c r="A1135" s="34"/>
      <c r="B1135" s="34"/>
      <c r="C1135" s="34"/>
      <c r="D1135" s="34"/>
      <c r="E1135" s="34"/>
      <c r="F1135" s="34"/>
      <c r="G1135" s="34"/>
      <c r="H1135" s="34"/>
      <c r="I1135" s="34"/>
      <c r="J1135" s="34"/>
      <c r="L1135" s="48"/>
      <c r="M1135" s="33"/>
      <c r="N1135" s="33"/>
      <c r="O1135" s="33"/>
      <c r="P1135" s="29"/>
      <c r="Q1135" s="36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33"/>
      <c r="AI1135" s="33"/>
      <c r="AJ1135" s="33"/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</row>
    <row r="1136" spans="1:50" ht="12">
      <c r="A1136" s="34"/>
      <c r="B1136" s="34"/>
      <c r="C1136" s="34"/>
      <c r="D1136" s="34"/>
      <c r="E1136" s="34"/>
      <c r="F1136" s="34"/>
      <c r="G1136" s="34"/>
      <c r="H1136" s="34"/>
      <c r="I1136" s="34"/>
      <c r="J1136" s="34"/>
      <c r="L1136" s="48"/>
      <c r="M1136" s="33"/>
      <c r="N1136" s="33"/>
      <c r="O1136" s="33"/>
      <c r="P1136" s="29"/>
      <c r="Q1136" s="36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</row>
    <row r="1137" spans="1:50" ht="12">
      <c r="A1137" s="34"/>
      <c r="B1137" s="34"/>
      <c r="C1137" s="34"/>
      <c r="D1137" s="34"/>
      <c r="E1137" s="34"/>
      <c r="F1137" s="34"/>
      <c r="G1137" s="34"/>
      <c r="H1137" s="34"/>
      <c r="I1137" s="34"/>
      <c r="J1137" s="34"/>
      <c r="L1137" s="48"/>
      <c r="M1137" s="33"/>
      <c r="N1137" s="33"/>
      <c r="O1137" s="33"/>
      <c r="P1137" s="29"/>
      <c r="Q1137" s="36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  <c r="AJ1137" s="33"/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</row>
    <row r="1138" spans="1:50" ht="12">
      <c r="A1138" s="34"/>
      <c r="B1138" s="34"/>
      <c r="C1138" s="34"/>
      <c r="D1138" s="34"/>
      <c r="E1138" s="34"/>
      <c r="F1138" s="34"/>
      <c r="G1138" s="34"/>
      <c r="H1138" s="34"/>
      <c r="I1138" s="34"/>
      <c r="J1138" s="34"/>
      <c r="L1138" s="48"/>
      <c r="M1138" s="33"/>
      <c r="N1138" s="33"/>
      <c r="O1138" s="33"/>
      <c r="P1138" s="29"/>
      <c r="Q1138" s="36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</row>
    <row r="1139" spans="1:50" ht="12">
      <c r="A1139" s="34"/>
      <c r="B1139" s="34"/>
      <c r="C1139" s="34"/>
      <c r="D1139" s="34"/>
      <c r="E1139" s="34"/>
      <c r="F1139" s="34"/>
      <c r="G1139" s="34"/>
      <c r="H1139" s="34"/>
      <c r="I1139" s="34"/>
      <c r="J1139" s="34"/>
      <c r="L1139" s="48"/>
      <c r="M1139" s="33"/>
      <c r="N1139" s="33"/>
      <c r="O1139" s="33"/>
      <c r="P1139" s="29"/>
      <c r="Q1139" s="36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  <c r="AJ1139" s="33"/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</row>
    <row r="1140" spans="1:50" ht="12">
      <c r="A1140" s="34"/>
      <c r="B1140" s="34"/>
      <c r="C1140" s="34"/>
      <c r="D1140" s="34"/>
      <c r="E1140" s="34"/>
      <c r="F1140" s="34"/>
      <c r="G1140" s="34"/>
      <c r="H1140" s="34"/>
      <c r="I1140" s="34"/>
      <c r="J1140" s="34"/>
      <c r="L1140" s="48"/>
      <c r="M1140" s="33"/>
      <c r="N1140" s="33"/>
      <c r="O1140" s="33"/>
      <c r="P1140" s="29"/>
      <c r="Q1140" s="36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  <c r="AJ1140" s="33"/>
      <c r="AK1140" s="33"/>
      <c r="AL1140" s="33"/>
      <c r="AM1140" s="33"/>
      <c r="AN1140" s="33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</row>
    <row r="1141" spans="1:50" ht="12">
      <c r="A1141" s="34"/>
      <c r="B1141" s="34"/>
      <c r="C1141" s="34"/>
      <c r="D1141" s="34"/>
      <c r="E1141" s="34"/>
      <c r="F1141" s="34"/>
      <c r="G1141" s="34"/>
      <c r="H1141" s="34"/>
      <c r="I1141" s="34"/>
      <c r="J1141" s="34"/>
      <c r="L1141" s="48"/>
      <c r="M1141" s="33"/>
      <c r="N1141" s="33"/>
      <c r="O1141" s="33"/>
      <c r="P1141" s="29"/>
      <c r="Q1141" s="36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  <c r="AJ1141" s="33"/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</row>
    <row r="1142" spans="1:50" ht="12">
      <c r="A1142" s="34"/>
      <c r="B1142" s="34"/>
      <c r="C1142" s="34"/>
      <c r="D1142" s="34"/>
      <c r="E1142" s="34"/>
      <c r="F1142" s="34"/>
      <c r="G1142" s="34"/>
      <c r="H1142" s="34"/>
      <c r="I1142" s="34"/>
      <c r="J1142" s="34"/>
      <c r="L1142" s="48"/>
      <c r="M1142" s="33"/>
      <c r="N1142" s="33"/>
      <c r="O1142" s="33"/>
      <c r="P1142" s="29"/>
      <c r="Q1142" s="36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33"/>
      <c r="AI1142" s="33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</row>
    <row r="1143" spans="1:50" ht="12">
      <c r="A1143" s="34"/>
      <c r="B1143" s="34"/>
      <c r="C1143" s="34"/>
      <c r="D1143" s="34"/>
      <c r="E1143" s="34"/>
      <c r="F1143" s="34"/>
      <c r="G1143" s="34"/>
      <c r="H1143" s="34"/>
      <c r="I1143" s="34"/>
      <c r="J1143" s="34"/>
      <c r="L1143" s="48"/>
      <c r="M1143" s="33"/>
      <c r="N1143" s="33"/>
      <c r="O1143" s="33"/>
      <c r="P1143" s="29"/>
      <c r="Q1143" s="36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33"/>
      <c r="AI1143" s="33"/>
      <c r="AJ1143" s="33"/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</row>
    <row r="1144" spans="1:50" ht="12">
      <c r="A1144" s="34"/>
      <c r="B1144" s="34"/>
      <c r="C1144" s="34"/>
      <c r="D1144" s="34"/>
      <c r="E1144" s="34"/>
      <c r="F1144" s="34"/>
      <c r="G1144" s="34"/>
      <c r="H1144" s="34"/>
      <c r="I1144" s="34"/>
      <c r="J1144" s="34"/>
      <c r="L1144" s="48"/>
      <c r="M1144" s="33"/>
      <c r="N1144" s="33"/>
      <c r="O1144" s="33"/>
      <c r="P1144" s="29"/>
      <c r="Q1144" s="36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</row>
    <row r="1145" spans="1:50" ht="12">
      <c r="A1145" s="34"/>
      <c r="B1145" s="34"/>
      <c r="C1145" s="34"/>
      <c r="D1145" s="34"/>
      <c r="E1145" s="34"/>
      <c r="F1145" s="34"/>
      <c r="G1145" s="34"/>
      <c r="H1145" s="34"/>
      <c r="I1145" s="34"/>
      <c r="J1145" s="34"/>
      <c r="L1145" s="48"/>
      <c r="M1145" s="33"/>
      <c r="N1145" s="33"/>
      <c r="O1145" s="33"/>
      <c r="P1145" s="29"/>
      <c r="Q1145" s="36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</row>
    <row r="1146" spans="1:50" ht="12">
      <c r="A1146" s="34"/>
      <c r="B1146" s="34"/>
      <c r="C1146" s="34"/>
      <c r="D1146" s="34"/>
      <c r="E1146" s="34"/>
      <c r="F1146" s="34"/>
      <c r="G1146" s="34"/>
      <c r="H1146" s="34"/>
      <c r="I1146" s="34"/>
      <c r="J1146" s="34"/>
      <c r="L1146" s="48"/>
      <c r="M1146" s="33"/>
      <c r="N1146" s="33"/>
      <c r="O1146" s="33"/>
      <c r="P1146" s="29"/>
      <c r="Q1146" s="36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</row>
    <row r="1147" spans="1:50" ht="12">
      <c r="A1147" s="34"/>
      <c r="B1147" s="34"/>
      <c r="C1147" s="34"/>
      <c r="D1147" s="34"/>
      <c r="E1147" s="34"/>
      <c r="F1147" s="34"/>
      <c r="G1147" s="34"/>
      <c r="H1147" s="34"/>
      <c r="I1147" s="34"/>
      <c r="J1147" s="34"/>
      <c r="L1147" s="48"/>
      <c r="M1147" s="33"/>
      <c r="N1147" s="33"/>
      <c r="O1147" s="33"/>
      <c r="P1147" s="29"/>
      <c r="Q1147" s="36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  <c r="AJ1147" s="33"/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</row>
    <row r="1148" spans="1:50" ht="12">
      <c r="A1148" s="34"/>
      <c r="B1148" s="34"/>
      <c r="C1148" s="34"/>
      <c r="D1148" s="34"/>
      <c r="E1148" s="34"/>
      <c r="F1148" s="34"/>
      <c r="G1148" s="34"/>
      <c r="H1148" s="34"/>
      <c r="I1148" s="34"/>
      <c r="J1148" s="34"/>
      <c r="L1148" s="48"/>
      <c r="M1148" s="33"/>
      <c r="N1148" s="33"/>
      <c r="O1148" s="33"/>
      <c r="P1148" s="29"/>
      <c r="Q1148" s="36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  <c r="AJ1148" s="33"/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</row>
    <row r="1149" spans="1:50" ht="12">
      <c r="A1149" s="34"/>
      <c r="B1149" s="34"/>
      <c r="C1149" s="34"/>
      <c r="D1149" s="34"/>
      <c r="E1149" s="34"/>
      <c r="F1149" s="34"/>
      <c r="G1149" s="34"/>
      <c r="H1149" s="34"/>
      <c r="I1149" s="34"/>
      <c r="J1149" s="34"/>
      <c r="L1149" s="48"/>
      <c r="M1149" s="33"/>
      <c r="N1149" s="33"/>
      <c r="O1149" s="33"/>
      <c r="P1149" s="29"/>
      <c r="Q1149" s="36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  <c r="AJ1149" s="33"/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</row>
    <row r="1150" spans="1:50" ht="12">
      <c r="A1150" s="34"/>
      <c r="B1150" s="34"/>
      <c r="C1150" s="34"/>
      <c r="D1150" s="34"/>
      <c r="E1150" s="34"/>
      <c r="F1150" s="34"/>
      <c r="G1150" s="34"/>
      <c r="H1150" s="34"/>
      <c r="I1150" s="34"/>
      <c r="J1150" s="34"/>
      <c r="L1150" s="48"/>
      <c r="M1150" s="33"/>
      <c r="N1150" s="33"/>
      <c r="O1150" s="33"/>
      <c r="P1150" s="29"/>
      <c r="Q1150" s="36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</row>
    <row r="1151" spans="1:50" ht="12">
      <c r="A1151" s="34"/>
      <c r="B1151" s="34"/>
      <c r="C1151" s="34"/>
      <c r="D1151" s="34"/>
      <c r="E1151" s="34"/>
      <c r="F1151" s="34"/>
      <c r="G1151" s="34"/>
      <c r="H1151" s="34"/>
      <c r="I1151" s="34"/>
      <c r="J1151" s="34"/>
      <c r="L1151" s="48"/>
      <c r="M1151" s="33"/>
      <c r="N1151" s="33"/>
      <c r="O1151" s="33"/>
      <c r="P1151" s="29"/>
      <c r="Q1151" s="36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  <c r="AJ1151" s="33"/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</row>
    <row r="1152" spans="1:50" ht="12">
      <c r="A1152" s="34"/>
      <c r="B1152" s="34"/>
      <c r="C1152" s="34"/>
      <c r="D1152" s="34"/>
      <c r="E1152" s="34"/>
      <c r="F1152" s="34"/>
      <c r="G1152" s="34"/>
      <c r="H1152" s="34"/>
      <c r="I1152" s="34"/>
      <c r="J1152" s="34"/>
      <c r="L1152" s="48"/>
      <c r="M1152" s="33"/>
      <c r="N1152" s="33"/>
      <c r="O1152" s="33"/>
      <c r="P1152" s="29"/>
      <c r="Q1152" s="36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33"/>
      <c r="AI1152" s="33"/>
      <c r="AJ1152" s="33"/>
      <c r="AK1152" s="33"/>
      <c r="AL1152" s="33"/>
      <c r="AM1152" s="33"/>
      <c r="AN1152" s="33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</row>
    <row r="1153" spans="1:50" ht="12">
      <c r="A1153" s="34"/>
      <c r="B1153" s="34"/>
      <c r="C1153" s="34"/>
      <c r="D1153" s="34"/>
      <c r="E1153" s="34"/>
      <c r="F1153" s="34"/>
      <c r="G1153" s="34"/>
      <c r="H1153" s="34"/>
      <c r="I1153" s="34"/>
      <c r="J1153" s="34"/>
      <c r="L1153" s="48"/>
      <c r="M1153" s="33"/>
      <c r="N1153" s="33"/>
      <c r="O1153" s="33"/>
      <c r="P1153" s="29"/>
      <c r="Q1153" s="36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33"/>
      <c r="AI1153" s="33"/>
      <c r="AJ1153" s="33"/>
      <c r="AK1153" s="33"/>
      <c r="AL1153" s="33"/>
      <c r="AM1153" s="33"/>
      <c r="AN1153" s="33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</row>
    <row r="1154" spans="1:50" ht="12">
      <c r="A1154" s="34"/>
      <c r="B1154" s="34"/>
      <c r="C1154" s="34"/>
      <c r="D1154" s="34"/>
      <c r="E1154" s="34"/>
      <c r="F1154" s="34"/>
      <c r="G1154" s="34"/>
      <c r="H1154" s="34"/>
      <c r="I1154" s="34"/>
      <c r="J1154" s="34"/>
      <c r="L1154" s="48"/>
      <c r="M1154" s="33"/>
      <c r="N1154" s="33"/>
      <c r="O1154" s="33"/>
      <c r="P1154" s="29"/>
      <c r="Q1154" s="36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  <c r="AJ1154" s="33"/>
      <c r="AK1154" s="33"/>
      <c r="AL1154" s="33"/>
      <c r="AM1154" s="33"/>
      <c r="AN1154" s="33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</row>
    <row r="1155" spans="1:50" ht="12">
      <c r="A1155" s="34"/>
      <c r="B1155" s="34"/>
      <c r="C1155" s="34"/>
      <c r="D1155" s="34"/>
      <c r="E1155" s="34"/>
      <c r="F1155" s="34"/>
      <c r="G1155" s="34"/>
      <c r="H1155" s="34"/>
      <c r="I1155" s="34"/>
      <c r="J1155" s="34"/>
      <c r="L1155" s="48"/>
      <c r="M1155" s="33"/>
      <c r="N1155" s="33"/>
      <c r="O1155" s="33"/>
      <c r="P1155" s="29"/>
      <c r="Q1155" s="36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  <c r="AJ1155" s="33"/>
      <c r="AK1155" s="33"/>
      <c r="AL1155" s="33"/>
      <c r="AM1155" s="33"/>
      <c r="AN1155" s="33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</row>
    <row r="1156" spans="1:50" ht="12">
      <c r="A1156" s="34"/>
      <c r="B1156" s="34"/>
      <c r="C1156" s="34"/>
      <c r="D1156" s="34"/>
      <c r="E1156" s="34"/>
      <c r="F1156" s="34"/>
      <c r="G1156" s="34"/>
      <c r="H1156" s="34"/>
      <c r="I1156" s="34"/>
      <c r="J1156" s="34"/>
      <c r="L1156" s="48"/>
      <c r="M1156" s="33"/>
      <c r="N1156" s="33"/>
      <c r="O1156" s="33"/>
      <c r="P1156" s="29"/>
      <c r="Q1156" s="36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  <c r="AJ1156" s="33"/>
      <c r="AK1156" s="33"/>
      <c r="AL1156" s="33"/>
      <c r="AM1156" s="33"/>
      <c r="AN1156" s="33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</row>
    <row r="1157" spans="1:50" ht="12">
      <c r="A1157" s="34"/>
      <c r="B1157" s="34"/>
      <c r="C1157" s="34"/>
      <c r="D1157" s="34"/>
      <c r="E1157" s="34"/>
      <c r="F1157" s="34"/>
      <c r="G1157" s="34"/>
      <c r="H1157" s="34"/>
      <c r="I1157" s="34"/>
      <c r="J1157" s="34"/>
      <c r="L1157" s="48"/>
      <c r="M1157" s="33"/>
      <c r="N1157" s="33"/>
      <c r="O1157" s="33"/>
      <c r="P1157" s="29"/>
      <c r="Q1157" s="36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  <c r="AJ1157" s="33"/>
      <c r="AK1157" s="33"/>
      <c r="AL1157" s="33"/>
      <c r="AM1157" s="33"/>
      <c r="AN1157" s="33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</row>
    <row r="1158" spans="1:50" ht="12">
      <c r="A1158" s="34"/>
      <c r="B1158" s="34"/>
      <c r="C1158" s="34"/>
      <c r="D1158" s="34"/>
      <c r="E1158" s="34"/>
      <c r="F1158" s="34"/>
      <c r="G1158" s="34"/>
      <c r="H1158" s="34"/>
      <c r="I1158" s="34"/>
      <c r="J1158" s="34"/>
      <c r="L1158" s="48"/>
      <c r="M1158" s="33"/>
      <c r="N1158" s="33"/>
      <c r="O1158" s="33"/>
      <c r="P1158" s="29"/>
      <c r="Q1158" s="36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  <c r="AJ1158" s="33"/>
      <c r="AK1158" s="33"/>
      <c r="AL1158" s="33"/>
      <c r="AM1158" s="33"/>
      <c r="AN1158" s="33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</row>
    <row r="1159" spans="1:50" ht="12">
      <c r="A1159" s="34"/>
      <c r="B1159" s="34"/>
      <c r="C1159" s="34"/>
      <c r="D1159" s="34"/>
      <c r="E1159" s="34"/>
      <c r="F1159" s="34"/>
      <c r="G1159" s="34"/>
      <c r="H1159" s="34"/>
      <c r="I1159" s="34"/>
      <c r="J1159" s="34"/>
      <c r="L1159" s="48"/>
      <c r="M1159" s="33"/>
      <c r="N1159" s="33"/>
      <c r="O1159" s="33"/>
      <c r="P1159" s="29"/>
      <c r="Q1159" s="36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  <c r="AJ1159" s="33"/>
      <c r="AK1159" s="33"/>
      <c r="AL1159" s="33"/>
      <c r="AM1159" s="33"/>
      <c r="AN1159" s="33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</row>
    <row r="1160" spans="1:50" ht="12">
      <c r="A1160" s="34"/>
      <c r="B1160" s="34"/>
      <c r="C1160" s="34"/>
      <c r="D1160" s="34"/>
      <c r="E1160" s="34"/>
      <c r="F1160" s="34"/>
      <c r="G1160" s="34"/>
      <c r="H1160" s="34"/>
      <c r="I1160" s="34"/>
      <c r="J1160" s="34"/>
      <c r="L1160" s="48"/>
      <c r="M1160" s="33"/>
      <c r="N1160" s="33"/>
      <c r="O1160" s="33"/>
      <c r="P1160" s="29"/>
      <c r="Q1160" s="36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  <c r="AJ1160" s="33"/>
      <c r="AK1160" s="33"/>
      <c r="AL1160" s="33"/>
      <c r="AM1160" s="33"/>
      <c r="AN1160" s="33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</row>
    <row r="1161" spans="1:50" ht="12">
      <c r="A1161" s="34"/>
      <c r="B1161" s="34"/>
      <c r="C1161" s="34"/>
      <c r="D1161" s="34"/>
      <c r="E1161" s="34"/>
      <c r="F1161" s="34"/>
      <c r="G1161" s="34"/>
      <c r="H1161" s="34"/>
      <c r="I1161" s="34"/>
      <c r="J1161" s="34"/>
      <c r="L1161" s="48"/>
      <c r="M1161" s="33"/>
      <c r="N1161" s="33"/>
      <c r="O1161" s="33"/>
      <c r="P1161" s="29"/>
      <c r="Q1161" s="36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  <c r="AJ1161" s="33"/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</row>
    <row r="1162" spans="1:50" ht="12">
      <c r="A1162" s="34"/>
      <c r="B1162" s="34"/>
      <c r="C1162" s="34"/>
      <c r="D1162" s="34"/>
      <c r="E1162" s="34"/>
      <c r="F1162" s="34"/>
      <c r="G1162" s="34"/>
      <c r="H1162" s="34"/>
      <c r="I1162" s="34"/>
      <c r="J1162" s="34"/>
      <c r="L1162" s="48"/>
      <c r="M1162" s="33"/>
      <c r="N1162" s="33"/>
      <c r="O1162" s="33"/>
      <c r="P1162" s="29"/>
      <c r="Q1162" s="36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33"/>
      <c r="AI1162" s="33"/>
      <c r="AJ1162" s="33"/>
      <c r="AK1162" s="33"/>
      <c r="AL1162" s="33"/>
      <c r="AM1162" s="33"/>
      <c r="AN1162" s="33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</row>
    <row r="1163" spans="1:50" ht="12">
      <c r="A1163" s="34"/>
      <c r="B1163" s="34"/>
      <c r="C1163" s="34"/>
      <c r="D1163" s="34"/>
      <c r="E1163" s="34"/>
      <c r="F1163" s="34"/>
      <c r="G1163" s="34"/>
      <c r="H1163" s="34"/>
      <c r="I1163" s="34"/>
      <c r="J1163" s="34"/>
      <c r="L1163" s="48"/>
      <c r="M1163" s="33"/>
      <c r="N1163" s="33"/>
      <c r="O1163" s="33"/>
      <c r="P1163" s="29"/>
      <c r="Q1163" s="36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33"/>
      <c r="AI1163" s="33"/>
      <c r="AJ1163" s="33"/>
      <c r="AK1163" s="33"/>
      <c r="AL1163" s="33"/>
      <c r="AM1163" s="33"/>
      <c r="AN1163" s="33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</row>
    <row r="1164" spans="1:50" ht="12">
      <c r="A1164" s="34"/>
      <c r="B1164" s="34"/>
      <c r="C1164" s="34"/>
      <c r="D1164" s="34"/>
      <c r="E1164" s="34"/>
      <c r="F1164" s="34"/>
      <c r="G1164" s="34"/>
      <c r="H1164" s="34"/>
      <c r="I1164" s="34"/>
      <c r="J1164" s="34"/>
      <c r="L1164" s="48"/>
      <c r="M1164" s="33"/>
      <c r="N1164" s="33"/>
      <c r="O1164" s="33"/>
      <c r="P1164" s="29"/>
      <c r="Q1164" s="36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</row>
    <row r="1165" spans="1:50" ht="12">
      <c r="A1165" s="34"/>
      <c r="B1165" s="34"/>
      <c r="C1165" s="34"/>
      <c r="D1165" s="34"/>
      <c r="E1165" s="34"/>
      <c r="F1165" s="34"/>
      <c r="G1165" s="34"/>
      <c r="H1165" s="34"/>
      <c r="I1165" s="34"/>
      <c r="J1165" s="34"/>
      <c r="L1165" s="48"/>
      <c r="M1165" s="33"/>
      <c r="N1165" s="33"/>
      <c r="O1165" s="33"/>
      <c r="P1165" s="29"/>
      <c r="Q1165" s="36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</row>
    <row r="1166" spans="1:50" ht="12">
      <c r="A1166" s="34"/>
      <c r="B1166" s="34"/>
      <c r="C1166" s="34"/>
      <c r="D1166" s="34"/>
      <c r="E1166" s="34"/>
      <c r="F1166" s="34"/>
      <c r="G1166" s="34"/>
      <c r="H1166" s="34"/>
      <c r="I1166" s="34"/>
      <c r="J1166" s="34"/>
      <c r="L1166" s="48"/>
      <c r="M1166" s="33"/>
      <c r="N1166" s="33"/>
      <c r="O1166" s="33"/>
      <c r="P1166" s="29"/>
      <c r="Q1166" s="36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  <c r="AJ1166" s="33"/>
      <c r="AK1166" s="33"/>
      <c r="AL1166" s="33"/>
      <c r="AM1166" s="33"/>
      <c r="AN1166" s="33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</row>
    <row r="1167" spans="1:50" ht="12">
      <c r="A1167" s="34"/>
      <c r="B1167" s="34"/>
      <c r="C1167" s="34"/>
      <c r="D1167" s="34"/>
      <c r="E1167" s="34"/>
      <c r="F1167" s="34"/>
      <c r="G1167" s="34"/>
      <c r="H1167" s="34"/>
      <c r="I1167" s="34"/>
      <c r="J1167" s="34"/>
      <c r="L1167" s="48"/>
      <c r="M1167" s="33"/>
      <c r="N1167" s="33"/>
      <c r="O1167" s="33"/>
      <c r="P1167" s="29"/>
      <c r="Q1167" s="36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  <c r="AJ1167" s="33"/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</row>
    <row r="1168" spans="1:50" ht="12">
      <c r="A1168" s="34"/>
      <c r="B1168" s="34"/>
      <c r="C1168" s="34"/>
      <c r="D1168" s="34"/>
      <c r="E1168" s="34"/>
      <c r="F1168" s="34"/>
      <c r="G1168" s="34"/>
      <c r="H1168" s="34"/>
      <c r="I1168" s="34"/>
      <c r="J1168" s="34"/>
      <c r="L1168" s="48"/>
      <c r="M1168" s="33"/>
      <c r="N1168" s="33"/>
      <c r="O1168" s="33"/>
      <c r="P1168" s="29"/>
      <c r="Q1168" s="36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  <c r="AJ1168" s="33"/>
      <c r="AK1168" s="33"/>
      <c r="AL1168" s="33"/>
      <c r="AM1168" s="33"/>
      <c r="AN1168" s="33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</row>
    <row r="1169" spans="1:50" ht="12">
      <c r="A1169" s="34"/>
      <c r="B1169" s="34"/>
      <c r="C1169" s="34"/>
      <c r="D1169" s="34"/>
      <c r="E1169" s="34"/>
      <c r="F1169" s="34"/>
      <c r="G1169" s="34"/>
      <c r="H1169" s="34"/>
      <c r="I1169" s="34"/>
      <c r="J1169" s="34"/>
      <c r="L1169" s="48"/>
      <c r="M1169" s="33"/>
      <c r="N1169" s="33"/>
      <c r="O1169" s="33"/>
      <c r="P1169" s="29"/>
      <c r="Q1169" s="36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  <c r="AJ1169" s="33"/>
      <c r="AK1169" s="33"/>
      <c r="AL1169" s="33"/>
      <c r="AM1169" s="33"/>
      <c r="AN1169" s="33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</row>
    <row r="1170" spans="1:50" ht="12">
      <c r="A1170" s="34"/>
      <c r="B1170" s="34"/>
      <c r="C1170" s="34"/>
      <c r="D1170" s="34"/>
      <c r="E1170" s="34"/>
      <c r="F1170" s="34"/>
      <c r="G1170" s="34"/>
      <c r="H1170" s="34"/>
      <c r="I1170" s="34"/>
      <c r="J1170" s="34"/>
      <c r="L1170" s="48"/>
      <c r="M1170" s="33"/>
      <c r="N1170" s="33"/>
      <c r="O1170" s="33"/>
      <c r="P1170" s="29"/>
      <c r="Q1170" s="36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  <c r="AJ1170" s="33"/>
      <c r="AK1170" s="33"/>
      <c r="AL1170" s="33"/>
      <c r="AM1170" s="33"/>
      <c r="AN1170" s="33"/>
      <c r="AO1170" s="33"/>
      <c r="AP1170" s="33"/>
      <c r="AQ1170" s="33"/>
      <c r="AR1170" s="33"/>
      <c r="AS1170" s="33"/>
      <c r="AT1170" s="33"/>
      <c r="AU1170" s="33"/>
      <c r="AV1170" s="33"/>
      <c r="AW1170" s="33"/>
      <c r="AX1170" s="33"/>
    </row>
    <row r="1171" spans="1:50" ht="12">
      <c r="A1171" s="34"/>
      <c r="B1171" s="34"/>
      <c r="C1171" s="34"/>
      <c r="D1171" s="34"/>
      <c r="E1171" s="34"/>
      <c r="F1171" s="34"/>
      <c r="G1171" s="34"/>
      <c r="H1171" s="34"/>
      <c r="I1171" s="34"/>
      <c r="J1171" s="34"/>
      <c r="L1171" s="48"/>
      <c r="M1171" s="33"/>
      <c r="N1171" s="33"/>
      <c r="O1171" s="33"/>
      <c r="P1171" s="29"/>
      <c r="Q1171" s="36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  <c r="AJ1171" s="33"/>
      <c r="AK1171" s="33"/>
      <c r="AL1171" s="33"/>
      <c r="AM1171" s="33"/>
      <c r="AN1171" s="33"/>
      <c r="AO1171" s="33"/>
      <c r="AP1171" s="33"/>
      <c r="AQ1171" s="33"/>
      <c r="AR1171" s="33"/>
      <c r="AS1171" s="33"/>
      <c r="AT1171" s="33"/>
      <c r="AU1171" s="33"/>
      <c r="AV1171" s="33"/>
      <c r="AW1171" s="33"/>
      <c r="AX1171" s="33"/>
    </row>
    <row r="1172" spans="1:50" ht="12">
      <c r="A1172" s="34"/>
      <c r="B1172" s="34"/>
      <c r="C1172" s="34"/>
      <c r="D1172" s="34"/>
      <c r="E1172" s="34"/>
      <c r="F1172" s="34"/>
      <c r="G1172" s="34"/>
      <c r="H1172" s="34"/>
      <c r="I1172" s="34"/>
      <c r="J1172" s="34"/>
      <c r="L1172" s="48"/>
      <c r="M1172" s="33"/>
      <c r="N1172" s="33"/>
      <c r="O1172" s="33"/>
      <c r="P1172" s="29"/>
      <c r="Q1172" s="36"/>
      <c r="R1172" s="33"/>
      <c r="S1172" s="33"/>
      <c r="T1172" s="33"/>
      <c r="U1172" s="33"/>
      <c r="V1172" s="33"/>
      <c r="W1172" s="33"/>
      <c r="X1172" s="33"/>
      <c r="Y1172" s="33"/>
      <c r="Z1172" s="33"/>
      <c r="AA1172" s="33"/>
      <c r="AB1172" s="33"/>
      <c r="AC1172" s="33"/>
      <c r="AD1172" s="33"/>
      <c r="AE1172" s="33"/>
      <c r="AF1172" s="33"/>
      <c r="AG1172" s="33"/>
      <c r="AH1172" s="33"/>
      <c r="AI1172" s="33"/>
      <c r="AJ1172" s="33"/>
      <c r="AK1172" s="33"/>
      <c r="AL1172" s="33"/>
      <c r="AM1172" s="33"/>
      <c r="AN1172" s="33"/>
      <c r="AO1172" s="33"/>
      <c r="AP1172" s="33"/>
      <c r="AQ1172" s="33"/>
      <c r="AR1172" s="33"/>
      <c r="AS1172" s="33"/>
      <c r="AT1172" s="33"/>
      <c r="AU1172" s="33"/>
      <c r="AV1172" s="33"/>
      <c r="AW1172" s="33"/>
      <c r="AX1172" s="33"/>
    </row>
    <row r="1173" spans="1:50" ht="12">
      <c r="A1173" s="34"/>
      <c r="B1173" s="34"/>
      <c r="C1173" s="34"/>
      <c r="D1173" s="34"/>
      <c r="E1173" s="34"/>
      <c r="F1173" s="34"/>
      <c r="G1173" s="34"/>
      <c r="H1173" s="34"/>
      <c r="I1173" s="34"/>
      <c r="J1173" s="34"/>
      <c r="L1173" s="48"/>
      <c r="M1173" s="33"/>
      <c r="N1173" s="33"/>
      <c r="O1173" s="33"/>
      <c r="P1173" s="29"/>
      <c r="Q1173" s="36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3"/>
      <c r="AG1173" s="33"/>
      <c r="AH1173" s="33"/>
      <c r="AI1173" s="33"/>
      <c r="AJ1173" s="33"/>
      <c r="AK1173" s="33"/>
      <c r="AL1173" s="33"/>
      <c r="AM1173" s="33"/>
      <c r="AN1173" s="33"/>
      <c r="AO1173" s="33"/>
      <c r="AP1173" s="33"/>
      <c r="AQ1173" s="33"/>
      <c r="AR1173" s="33"/>
      <c r="AS1173" s="33"/>
      <c r="AT1173" s="33"/>
      <c r="AU1173" s="33"/>
      <c r="AV1173" s="33"/>
      <c r="AW1173" s="33"/>
      <c r="AX1173" s="33"/>
    </row>
    <row r="1174" spans="1:50" ht="12">
      <c r="A1174" s="34"/>
      <c r="B1174" s="34"/>
      <c r="C1174" s="34"/>
      <c r="D1174" s="34"/>
      <c r="E1174" s="34"/>
      <c r="F1174" s="34"/>
      <c r="G1174" s="34"/>
      <c r="H1174" s="34"/>
      <c r="I1174" s="34"/>
      <c r="J1174" s="34"/>
      <c r="L1174" s="48"/>
      <c r="M1174" s="33"/>
      <c r="N1174" s="33"/>
      <c r="O1174" s="33"/>
      <c r="P1174" s="29"/>
      <c r="Q1174" s="36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  <c r="AJ1174" s="33"/>
      <c r="AK1174" s="33"/>
      <c r="AL1174" s="33"/>
      <c r="AM1174" s="33"/>
      <c r="AN1174" s="33"/>
      <c r="AO1174" s="33"/>
      <c r="AP1174" s="33"/>
      <c r="AQ1174" s="33"/>
      <c r="AR1174" s="33"/>
      <c r="AS1174" s="33"/>
      <c r="AT1174" s="33"/>
      <c r="AU1174" s="33"/>
      <c r="AV1174" s="33"/>
      <c r="AW1174" s="33"/>
      <c r="AX1174" s="33"/>
    </row>
    <row r="1175" spans="1:50" ht="12">
      <c r="A1175" s="34"/>
      <c r="B1175" s="34"/>
      <c r="C1175" s="34"/>
      <c r="D1175" s="34"/>
      <c r="E1175" s="34"/>
      <c r="F1175" s="34"/>
      <c r="G1175" s="34"/>
      <c r="H1175" s="34"/>
      <c r="I1175" s="34"/>
      <c r="J1175" s="34"/>
      <c r="L1175" s="48"/>
      <c r="M1175" s="33"/>
      <c r="N1175" s="33"/>
      <c r="O1175" s="33"/>
      <c r="P1175" s="29"/>
      <c r="Q1175" s="36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  <c r="AJ1175" s="33"/>
      <c r="AK1175" s="33"/>
      <c r="AL1175" s="33"/>
      <c r="AM1175" s="33"/>
      <c r="AN1175" s="33"/>
      <c r="AO1175" s="33"/>
      <c r="AP1175" s="33"/>
      <c r="AQ1175" s="33"/>
      <c r="AR1175" s="33"/>
      <c r="AS1175" s="33"/>
      <c r="AT1175" s="33"/>
      <c r="AU1175" s="33"/>
      <c r="AV1175" s="33"/>
      <c r="AW1175" s="33"/>
      <c r="AX1175" s="33"/>
    </row>
    <row r="1176" spans="1:50" ht="12">
      <c r="A1176" s="34"/>
      <c r="B1176" s="34"/>
      <c r="C1176" s="34"/>
      <c r="D1176" s="34"/>
      <c r="E1176" s="34"/>
      <c r="F1176" s="34"/>
      <c r="G1176" s="34"/>
      <c r="H1176" s="34"/>
      <c r="I1176" s="34"/>
      <c r="J1176" s="34"/>
      <c r="L1176" s="48"/>
      <c r="M1176" s="33"/>
      <c r="N1176" s="33"/>
      <c r="O1176" s="33"/>
      <c r="P1176" s="29"/>
      <c r="Q1176" s="36"/>
      <c r="R1176" s="33"/>
      <c r="S1176" s="33"/>
      <c r="T1176" s="33"/>
      <c r="U1176" s="33"/>
      <c r="V1176" s="33"/>
      <c r="W1176" s="33"/>
      <c r="X1176" s="33"/>
      <c r="Y1176" s="33"/>
      <c r="Z1176" s="33"/>
      <c r="AA1176" s="33"/>
      <c r="AB1176" s="33"/>
      <c r="AC1176" s="33"/>
      <c r="AD1176" s="33"/>
      <c r="AE1176" s="33"/>
      <c r="AF1176" s="33"/>
      <c r="AG1176" s="33"/>
      <c r="AH1176" s="33"/>
      <c r="AI1176" s="33"/>
      <c r="AJ1176" s="33"/>
      <c r="AK1176" s="33"/>
      <c r="AL1176" s="33"/>
      <c r="AM1176" s="33"/>
      <c r="AN1176" s="33"/>
      <c r="AO1176" s="33"/>
      <c r="AP1176" s="33"/>
      <c r="AQ1176" s="33"/>
      <c r="AR1176" s="33"/>
      <c r="AS1176" s="33"/>
      <c r="AT1176" s="33"/>
      <c r="AU1176" s="33"/>
      <c r="AV1176" s="33"/>
      <c r="AW1176" s="33"/>
      <c r="AX1176" s="33"/>
    </row>
    <row r="1177" spans="1:50" ht="12">
      <c r="A1177" s="34"/>
      <c r="B1177" s="34"/>
      <c r="C1177" s="34"/>
      <c r="D1177" s="34"/>
      <c r="E1177" s="34"/>
      <c r="F1177" s="34"/>
      <c r="G1177" s="34"/>
      <c r="H1177" s="34"/>
      <c r="I1177" s="34"/>
      <c r="J1177" s="34"/>
      <c r="L1177" s="48"/>
      <c r="M1177" s="33"/>
      <c r="N1177" s="33"/>
      <c r="O1177" s="33"/>
      <c r="P1177" s="29"/>
      <c r="Q1177" s="36"/>
      <c r="R1177" s="33"/>
      <c r="S1177" s="33"/>
      <c r="T1177" s="33"/>
      <c r="U1177" s="33"/>
      <c r="V1177" s="33"/>
      <c r="W1177" s="33"/>
      <c r="X1177" s="33"/>
      <c r="Y1177" s="33"/>
      <c r="Z1177" s="33"/>
      <c r="AA1177" s="33"/>
      <c r="AB1177" s="33"/>
      <c r="AC1177" s="33"/>
      <c r="AD1177" s="33"/>
      <c r="AE1177" s="33"/>
      <c r="AF1177" s="33"/>
      <c r="AG1177" s="33"/>
      <c r="AH1177" s="33"/>
      <c r="AI1177" s="33"/>
      <c r="AJ1177" s="33"/>
      <c r="AK1177" s="33"/>
      <c r="AL1177" s="33"/>
      <c r="AM1177" s="33"/>
      <c r="AN1177" s="33"/>
      <c r="AO1177" s="33"/>
      <c r="AP1177" s="33"/>
      <c r="AQ1177" s="33"/>
      <c r="AR1177" s="33"/>
      <c r="AS1177" s="33"/>
      <c r="AT1177" s="33"/>
      <c r="AU1177" s="33"/>
      <c r="AV1177" s="33"/>
      <c r="AW1177" s="33"/>
      <c r="AX1177" s="33"/>
    </row>
    <row r="1178" spans="1:50" ht="12">
      <c r="A1178" s="34"/>
      <c r="B1178" s="34"/>
      <c r="C1178" s="34"/>
      <c r="D1178" s="34"/>
      <c r="E1178" s="34"/>
      <c r="F1178" s="34"/>
      <c r="G1178" s="34"/>
      <c r="H1178" s="34"/>
      <c r="I1178" s="34"/>
      <c r="J1178" s="34"/>
      <c r="L1178" s="48"/>
      <c r="M1178" s="33"/>
      <c r="N1178" s="33"/>
      <c r="O1178" s="33"/>
      <c r="P1178" s="29"/>
      <c r="Q1178" s="36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  <c r="AJ1178" s="33"/>
      <c r="AK1178" s="33"/>
      <c r="AL1178" s="33"/>
      <c r="AM1178" s="33"/>
      <c r="AN1178" s="33"/>
      <c r="AO1178" s="33"/>
      <c r="AP1178" s="33"/>
      <c r="AQ1178" s="33"/>
      <c r="AR1178" s="33"/>
      <c r="AS1178" s="33"/>
      <c r="AT1178" s="33"/>
      <c r="AU1178" s="33"/>
      <c r="AV1178" s="33"/>
      <c r="AW1178" s="33"/>
      <c r="AX1178" s="33"/>
    </row>
    <row r="1179" spans="1:50" ht="12">
      <c r="A1179" s="34"/>
      <c r="B1179" s="34"/>
      <c r="C1179" s="34"/>
      <c r="D1179" s="34"/>
      <c r="E1179" s="34"/>
      <c r="F1179" s="34"/>
      <c r="G1179" s="34"/>
      <c r="H1179" s="34"/>
      <c r="I1179" s="34"/>
      <c r="J1179" s="34"/>
      <c r="L1179" s="48"/>
      <c r="M1179" s="33"/>
      <c r="N1179" s="33"/>
      <c r="O1179" s="33"/>
      <c r="P1179" s="29"/>
      <c r="Q1179" s="36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  <c r="AJ1179" s="33"/>
      <c r="AK1179" s="33"/>
      <c r="AL1179" s="33"/>
      <c r="AM1179" s="33"/>
      <c r="AN1179" s="33"/>
      <c r="AO1179" s="33"/>
      <c r="AP1179" s="33"/>
      <c r="AQ1179" s="33"/>
      <c r="AR1179" s="33"/>
      <c r="AS1179" s="33"/>
      <c r="AT1179" s="33"/>
      <c r="AU1179" s="33"/>
      <c r="AV1179" s="33"/>
      <c r="AW1179" s="33"/>
      <c r="AX1179" s="33"/>
    </row>
    <row r="1180" spans="1:50" ht="12">
      <c r="A1180" s="34"/>
      <c r="B1180" s="34"/>
      <c r="C1180" s="34"/>
      <c r="D1180" s="34"/>
      <c r="E1180" s="34"/>
      <c r="F1180" s="34"/>
      <c r="G1180" s="34"/>
      <c r="H1180" s="34"/>
      <c r="I1180" s="34"/>
      <c r="J1180" s="34"/>
      <c r="L1180" s="48"/>
      <c r="M1180" s="33"/>
      <c r="N1180" s="33"/>
      <c r="O1180" s="33"/>
      <c r="P1180" s="29"/>
      <c r="Q1180" s="36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  <c r="AJ1180" s="33"/>
      <c r="AK1180" s="33"/>
      <c r="AL1180" s="33"/>
      <c r="AM1180" s="33"/>
      <c r="AN1180" s="33"/>
      <c r="AO1180" s="33"/>
      <c r="AP1180" s="33"/>
      <c r="AQ1180" s="33"/>
      <c r="AR1180" s="33"/>
      <c r="AS1180" s="33"/>
      <c r="AT1180" s="33"/>
      <c r="AU1180" s="33"/>
      <c r="AV1180" s="33"/>
      <c r="AW1180" s="33"/>
      <c r="AX1180" s="33"/>
    </row>
    <row r="1181" spans="1:50" ht="12">
      <c r="A1181" s="34"/>
      <c r="B1181" s="34"/>
      <c r="C1181" s="34"/>
      <c r="D1181" s="34"/>
      <c r="E1181" s="34"/>
      <c r="F1181" s="34"/>
      <c r="G1181" s="34"/>
      <c r="H1181" s="34"/>
      <c r="I1181" s="34"/>
      <c r="J1181" s="34"/>
      <c r="L1181" s="48"/>
      <c r="M1181" s="33"/>
      <c r="N1181" s="33"/>
      <c r="O1181" s="33"/>
      <c r="P1181" s="29"/>
      <c r="Q1181" s="36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  <c r="AJ1181" s="33"/>
      <c r="AK1181" s="33"/>
      <c r="AL1181" s="33"/>
      <c r="AM1181" s="33"/>
      <c r="AN1181" s="33"/>
      <c r="AO1181" s="33"/>
      <c r="AP1181" s="33"/>
      <c r="AQ1181" s="33"/>
      <c r="AR1181" s="33"/>
      <c r="AS1181" s="33"/>
      <c r="AT1181" s="33"/>
      <c r="AU1181" s="33"/>
      <c r="AV1181" s="33"/>
      <c r="AW1181" s="33"/>
      <c r="AX1181" s="33"/>
    </row>
    <row r="1182" spans="1:50" ht="12">
      <c r="A1182" s="34"/>
      <c r="B1182" s="34"/>
      <c r="C1182" s="34"/>
      <c r="D1182" s="34"/>
      <c r="E1182" s="34"/>
      <c r="F1182" s="34"/>
      <c r="G1182" s="34"/>
      <c r="H1182" s="34"/>
      <c r="I1182" s="34"/>
      <c r="J1182" s="34"/>
      <c r="L1182" s="48"/>
      <c r="M1182" s="33"/>
      <c r="N1182" s="33"/>
      <c r="O1182" s="33"/>
      <c r="P1182" s="29"/>
      <c r="Q1182" s="36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  <c r="AJ1182" s="33"/>
      <c r="AK1182" s="33"/>
      <c r="AL1182" s="33"/>
      <c r="AM1182" s="33"/>
      <c r="AN1182" s="33"/>
      <c r="AO1182" s="33"/>
      <c r="AP1182" s="33"/>
      <c r="AQ1182" s="33"/>
      <c r="AR1182" s="33"/>
      <c r="AS1182" s="33"/>
      <c r="AT1182" s="33"/>
      <c r="AU1182" s="33"/>
      <c r="AV1182" s="33"/>
      <c r="AW1182" s="33"/>
      <c r="AX1182" s="33"/>
    </row>
    <row r="1183" spans="1:50" ht="12">
      <c r="A1183" s="34"/>
      <c r="B1183" s="34"/>
      <c r="C1183" s="34"/>
      <c r="D1183" s="34"/>
      <c r="E1183" s="34"/>
      <c r="F1183" s="34"/>
      <c r="G1183" s="34"/>
      <c r="H1183" s="34"/>
      <c r="I1183" s="34"/>
      <c r="J1183" s="34"/>
      <c r="L1183" s="48"/>
      <c r="M1183" s="33"/>
      <c r="N1183" s="33"/>
      <c r="O1183" s="33"/>
      <c r="P1183" s="29"/>
      <c r="Q1183" s="36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  <c r="AJ1183" s="33"/>
      <c r="AK1183" s="33"/>
      <c r="AL1183" s="33"/>
      <c r="AM1183" s="33"/>
      <c r="AN1183" s="33"/>
      <c r="AO1183" s="33"/>
      <c r="AP1183" s="33"/>
      <c r="AQ1183" s="33"/>
      <c r="AR1183" s="33"/>
      <c r="AS1183" s="33"/>
      <c r="AT1183" s="33"/>
      <c r="AU1183" s="33"/>
      <c r="AV1183" s="33"/>
      <c r="AW1183" s="33"/>
      <c r="AX1183" s="33"/>
    </row>
    <row r="1184" spans="1:50" ht="12">
      <c r="A1184" s="34"/>
      <c r="B1184" s="34"/>
      <c r="C1184" s="34"/>
      <c r="D1184" s="34"/>
      <c r="E1184" s="34"/>
      <c r="F1184" s="34"/>
      <c r="G1184" s="34"/>
      <c r="H1184" s="34"/>
      <c r="I1184" s="34"/>
      <c r="J1184" s="34"/>
      <c r="L1184" s="48"/>
      <c r="M1184" s="33"/>
      <c r="N1184" s="33"/>
      <c r="O1184" s="33"/>
      <c r="P1184" s="29"/>
      <c r="Q1184" s="36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  <c r="AJ1184" s="33"/>
      <c r="AK1184" s="33"/>
      <c r="AL1184" s="33"/>
      <c r="AM1184" s="33"/>
      <c r="AN1184" s="33"/>
      <c r="AO1184" s="33"/>
      <c r="AP1184" s="33"/>
      <c r="AQ1184" s="33"/>
      <c r="AR1184" s="33"/>
      <c r="AS1184" s="33"/>
      <c r="AT1184" s="33"/>
      <c r="AU1184" s="33"/>
      <c r="AV1184" s="33"/>
      <c r="AW1184" s="33"/>
      <c r="AX1184" s="33"/>
    </row>
    <row r="1185" spans="1:50" ht="12">
      <c r="A1185" s="34"/>
      <c r="B1185" s="34"/>
      <c r="C1185" s="34"/>
      <c r="D1185" s="34"/>
      <c r="E1185" s="34"/>
      <c r="F1185" s="34"/>
      <c r="G1185" s="34"/>
      <c r="H1185" s="34"/>
      <c r="I1185" s="34"/>
      <c r="J1185" s="34"/>
      <c r="L1185" s="48"/>
      <c r="M1185" s="33"/>
      <c r="N1185" s="33"/>
      <c r="O1185" s="33"/>
      <c r="P1185" s="29"/>
      <c r="Q1185" s="36"/>
      <c r="R1185" s="33"/>
      <c r="S1185" s="33"/>
      <c r="T1185" s="33"/>
      <c r="U1185" s="33"/>
      <c r="V1185" s="33"/>
      <c r="W1185" s="33"/>
      <c r="X1185" s="33"/>
      <c r="Y1185" s="33"/>
      <c r="Z1185" s="33"/>
      <c r="AA1185" s="33"/>
      <c r="AB1185" s="33"/>
      <c r="AC1185" s="33"/>
      <c r="AD1185" s="33"/>
      <c r="AE1185" s="33"/>
      <c r="AF1185" s="33"/>
      <c r="AG1185" s="33"/>
      <c r="AH1185" s="33"/>
      <c r="AI1185" s="33"/>
      <c r="AJ1185" s="33"/>
      <c r="AK1185" s="33"/>
      <c r="AL1185" s="33"/>
      <c r="AM1185" s="33"/>
      <c r="AN1185" s="33"/>
      <c r="AO1185" s="33"/>
      <c r="AP1185" s="33"/>
      <c r="AQ1185" s="33"/>
      <c r="AR1185" s="33"/>
      <c r="AS1185" s="33"/>
      <c r="AT1185" s="33"/>
      <c r="AU1185" s="33"/>
      <c r="AV1185" s="33"/>
      <c r="AW1185" s="33"/>
      <c r="AX1185" s="33"/>
    </row>
    <row r="1186" spans="1:50" ht="12">
      <c r="A1186" s="34"/>
      <c r="B1186" s="34"/>
      <c r="C1186" s="34"/>
      <c r="D1186" s="34"/>
      <c r="E1186" s="34"/>
      <c r="F1186" s="34"/>
      <c r="G1186" s="34"/>
      <c r="H1186" s="34"/>
      <c r="I1186" s="34"/>
      <c r="J1186" s="34"/>
      <c r="L1186" s="48"/>
      <c r="M1186" s="33"/>
      <c r="N1186" s="33"/>
      <c r="O1186" s="33"/>
      <c r="P1186" s="29"/>
      <c r="Q1186" s="36"/>
      <c r="R1186" s="33"/>
      <c r="S1186" s="33"/>
      <c r="T1186" s="33"/>
      <c r="U1186" s="33"/>
      <c r="V1186" s="33"/>
      <c r="W1186" s="33"/>
      <c r="X1186" s="33"/>
      <c r="Y1186" s="33"/>
      <c r="Z1186" s="33"/>
      <c r="AA1186" s="33"/>
      <c r="AB1186" s="33"/>
      <c r="AC1186" s="33"/>
      <c r="AD1186" s="33"/>
      <c r="AE1186" s="33"/>
      <c r="AF1186" s="33"/>
      <c r="AG1186" s="33"/>
      <c r="AH1186" s="33"/>
      <c r="AI1186" s="33"/>
      <c r="AJ1186" s="33"/>
      <c r="AK1186" s="33"/>
      <c r="AL1186" s="33"/>
      <c r="AM1186" s="33"/>
      <c r="AN1186" s="33"/>
      <c r="AO1186" s="33"/>
      <c r="AP1186" s="33"/>
      <c r="AQ1186" s="33"/>
      <c r="AR1186" s="33"/>
      <c r="AS1186" s="33"/>
      <c r="AT1186" s="33"/>
      <c r="AU1186" s="33"/>
      <c r="AV1186" s="33"/>
      <c r="AW1186" s="33"/>
      <c r="AX1186" s="33"/>
    </row>
    <row r="1187" spans="1:50" ht="12">
      <c r="A1187" s="34"/>
      <c r="B1187" s="34"/>
      <c r="C1187" s="34"/>
      <c r="D1187" s="34"/>
      <c r="E1187" s="34"/>
      <c r="F1187" s="34"/>
      <c r="G1187" s="34"/>
      <c r="H1187" s="34"/>
      <c r="I1187" s="34"/>
      <c r="J1187" s="34"/>
      <c r="L1187" s="48"/>
      <c r="M1187" s="33"/>
      <c r="N1187" s="33"/>
      <c r="O1187" s="33"/>
      <c r="P1187" s="29"/>
      <c r="Q1187" s="36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  <c r="AJ1187" s="33"/>
      <c r="AK1187" s="33"/>
      <c r="AL1187" s="33"/>
      <c r="AM1187" s="33"/>
      <c r="AN1187" s="33"/>
      <c r="AO1187" s="33"/>
      <c r="AP1187" s="33"/>
      <c r="AQ1187" s="33"/>
      <c r="AR1187" s="33"/>
      <c r="AS1187" s="33"/>
      <c r="AT1187" s="33"/>
      <c r="AU1187" s="33"/>
      <c r="AV1187" s="33"/>
      <c r="AW1187" s="33"/>
      <c r="AX1187" s="33"/>
    </row>
    <row r="1188" spans="1:50" ht="12">
      <c r="A1188" s="34"/>
      <c r="B1188" s="34"/>
      <c r="C1188" s="34"/>
      <c r="D1188" s="34"/>
      <c r="E1188" s="34"/>
      <c r="F1188" s="34"/>
      <c r="G1188" s="34"/>
      <c r="H1188" s="34"/>
      <c r="I1188" s="34"/>
      <c r="J1188" s="34"/>
      <c r="L1188" s="48"/>
      <c r="M1188" s="33"/>
      <c r="N1188" s="33"/>
      <c r="O1188" s="33"/>
      <c r="P1188" s="29"/>
      <c r="Q1188" s="36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  <c r="AJ1188" s="33"/>
      <c r="AK1188" s="33"/>
      <c r="AL1188" s="33"/>
      <c r="AM1188" s="33"/>
      <c r="AN1188" s="33"/>
      <c r="AO1188" s="33"/>
      <c r="AP1188" s="33"/>
      <c r="AQ1188" s="33"/>
      <c r="AR1188" s="33"/>
      <c r="AS1188" s="33"/>
      <c r="AT1188" s="33"/>
      <c r="AU1188" s="33"/>
      <c r="AV1188" s="33"/>
      <c r="AW1188" s="33"/>
      <c r="AX1188" s="33"/>
    </row>
    <row r="1189" spans="1:50" ht="12">
      <c r="A1189" s="34"/>
      <c r="B1189" s="34"/>
      <c r="C1189" s="34"/>
      <c r="D1189" s="34"/>
      <c r="E1189" s="34"/>
      <c r="F1189" s="34"/>
      <c r="G1189" s="34"/>
      <c r="H1189" s="34"/>
      <c r="I1189" s="34"/>
      <c r="J1189" s="34"/>
      <c r="L1189" s="48"/>
      <c r="M1189" s="33"/>
      <c r="N1189" s="33"/>
      <c r="O1189" s="33"/>
      <c r="P1189" s="29"/>
      <c r="Q1189" s="36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  <c r="AJ1189" s="33"/>
      <c r="AK1189" s="33"/>
      <c r="AL1189" s="33"/>
      <c r="AM1189" s="33"/>
      <c r="AN1189" s="33"/>
      <c r="AO1189" s="33"/>
      <c r="AP1189" s="33"/>
      <c r="AQ1189" s="33"/>
      <c r="AR1189" s="33"/>
      <c r="AS1189" s="33"/>
      <c r="AT1189" s="33"/>
      <c r="AU1189" s="33"/>
      <c r="AV1189" s="33"/>
      <c r="AW1189" s="33"/>
      <c r="AX1189" s="33"/>
    </row>
    <row r="1190" spans="1:50" ht="12">
      <c r="A1190" s="34"/>
      <c r="B1190" s="34"/>
      <c r="C1190" s="34"/>
      <c r="D1190" s="34"/>
      <c r="E1190" s="34"/>
      <c r="F1190" s="34"/>
      <c r="G1190" s="34"/>
      <c r="H1190" s="34"/>
      <c r="I1190" s="34"/>
      <c r="J1190" s="34"/>
      <c r="L1190" s="48"/>
      <c r="M1190" s="33"/>
      <c r="N1190" s="33"/>
      <c r="O1190" s="33"/>
      <c r="P1190" s="29"/>
      <c r="Q1190" s="36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  <c r="AJ1190" s="33"/>
      <c r="AK1190" s="33"/>
      <c r="AL1190" s="33"/>
      <c r="AM1190" s="33"/>
      <c r="AN1190" s="33"/>
      <c r="AO1190" s="33"/>
      <c r="AP1190" s="33"/>
      <c r="AQ1190" s="33"/>
      <c r="AR1190" s="33"/>
      <c r="AS1190" s="33"/>
      <c r="AT1190" s="33"/>
      <c r="AU1190" s="33"/>
      <c r="AV1190" s="33"/>
      <c r="AW1190" s="33"/>
      <c r="AX1190" s="33"/>
    </row>
    <row r="1191" spans="1:50" ht="12">
      <c r="A1191" s="34"/>
      <c r="B1191" s="34"/>
      <c r="C1191" s="34"/>
      <c r="D1191" s="34"/>
      <c r="E1191" s="34"/>
      <c r="F1191" s="34"/>
      <c r="G1191" s="34"/>
      <c r="H1191" s="34"/>
      <c r="I1191" s="34"/>
      <c r="J1191" s="34"/>
      <c r="L1191" s="48"/>
      <c r="M1191" s="33"/>
      <c r="N1191" s="33"/>
      <c r="O1191" s="33"/>
      <c r="P1191" s="29"/>
      <c r="Q1191" s="36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  <c r="AJ1191" s="33"/>
      <c r="AK1191" s="33"/>
      <c r="AL1191" s="33"/>
      <c r="AM1191" s="33"/>
      <c r="AN1191" s="33"/>
      <c r="AO1191" s="33"/>
      <c r="AP1191" s="33"/>
      <c r="AQ1191" s="33"/>
      <c r="AR1191" s="33"/>
      <c r="AS1191" s="33"/>
      <c r="AT1191" s="33"/>
      <c r="AU1191" s="33"/>
      <c r="AV1191" s="33"/>
      <c r="AW1191" s="33"/>
      <c r="AX1191" s="33"/>
    </row>
    <row r="1192" spans="1:50" ht="12">
      <c r="A1192" s="34"/>
      <c r="B1192" s="34"/>
      <c r="C1192" s="34"/>
      <c r="D1192" s="34"/>
      <c r="E1192" s="34"/>
      <c r="F1192" s="34"/>
      <c r="G1192" s="34"/>
      <c r="H1192" s="34"/>
      <c r="I1192" s="34"/>
      <c r="J1192" s="34"/>
      <c r="L1192" s="48"/>
      <c r="M1192" s="33"/>
      <c r="N1192" s="33"/>
      <c r="O1192" s="33"/>
      <c r="P1192" s="29"/>
      <c r="Q1192" s="36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  <c r="AJ1192" s="33"/>
      <c r="AK1192" s="33"/>
      <c r="AL1192" s="33"/>
      <c r="AM1192" s="33"/>
      <c r="AN1192" s="33"/>
      <c r="AO1192" s="33"/>
      <c r="AP1192" s="33"/>
      <c r="AQ1192" s="33"/>
      <c r="AR1192" s="33"/>
      <c r="AS1192" s="33"/>
      <c r="AT1192" s="33"/>
      <c r="AU1192" s="33"/>
      <c r="AV1192" s="33"/>
      <c r="AW1192" s="33"/>
      <c r="AX1192" s="33"/>
    </row>
    <row r="1193" spans="1:50" ht="12">
      <c r="A1193" s="34"/>
      <c r="B1193" s="34"/>
      <c r="C1193" s="34"/>
      <c r="D1193" s="34"/>
      <c r="E1193" s="34"/>
      <c r="F1193" s="34"/>
      <c r="G1193" s="34"/>
      <c r="H1193" s="34"/>
      <c r="I1193" s="34"/>
      <c r="J1193" s="34"/>
      <c r="L1193" s="48"/>
      <c r="M1193" s="33"/>
      <c r="N1193" s="33"/>
      <c r="O1193" s="33"/>
      <c r="P1193" s="29"/>
      <c r="Q1193" s="36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  <c r="AJ1193" s="33"/>
      <c r="AK1193" s="33"/>
      <c r="AL1193" s="33"/>
      <c r="AM1193" s="33"/>
      <c r="AN1193" s="33"/>
      <c r="AO1193" s="33"/>
      <c r="AP1193" s="33"/>
      <c r="AQ1193" s="33"/>
      <c r="AR1193" s="33"/>
      <c r="AS1193" s="33"/>
      <c r="AT1193" s="33"/>
      <c r="AU1193" s="33"/>
      <c r="AV1193" s="33"/>
      <c r="AW1193" s="33"/>
      <c r="AX1193" s="33"/>
    </row>
    <row r="1194" spans="1:50" ht="12">
      <c r="A1194" s="34"/>
      <c r="B1194" s="34"/>
      <c r="C1194" s="34"/>
      <c r="D1194" s="34"/>
      <c r="E1194" s="34"/>
      <c r="F1194" s="34"/>
      <c r="G1194" s="34"/>
      <c r="H1194" s="34"/>
      <c r="I1194" s="34"/>
      <c r="J1194" s="34"/>
      <c r="L1194" s="48"/>
      <c r="M1194" s="33"/>
      <c r="N1194" s="33"/>
      <c r="O1194" s="33"/>
      <c r="P1194" s="29"/>
      <c r="Q1194" s="36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  <c r="AJ1194" s="33"/>
      <c r="AK1194" s="33"/>
      <c r="AL1194" s="33"/>
      <c r="AM1194" s="33"/>
      <c r="AN1194" s="33"/>
      <c r="AO1194" s="33"/>
      <c r="AP1194" s="33"/>
      <c r="AQ1194" s="33"/>
      <c r="AR1194" s="33"/>
      <c r="AS1194" s="33"/>
      <c r="AT1194" s="33"/>
      <c r="AU1194" s="33"/>
      <c r="AV1194" s="33"/>
      <c r="AW1194" s="33"/>
      <c r="AX1194" s="33"/>
    </row>
    <row r="1195" spans="1:50" ht="12">
      <c r="A1195" s="34"/>
      <c r="B1195" s="34"/>
      <c r="C1195" s="34"/>
      <c r="D1195" s="34"/>
      <c r="E1195" s="34"/>
      <c r="F1195" s="34"/>
      <c r="G1195" s="34"/>
      <c r="H1195" s="34"/>
      <c r="I1195" s="34"/>
      <c r="J1195" s="34"/>
      <c r="L1195" s="48"/>
      <c r="M1195" s="33"/>
      <c r="N1195" s="33"/>
      <c r="O1195" s="33"/>
      <c r="P1195" s="29"/>
      <c r="Q1195" s="36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  <c r="AJ1195" s="33"/>
      <c r="AK1195" s="33"/>
      <c r="AL1195" s="33"/>
      <c r="AM1195" s="33"/>
      <c r="AN1195" s="33"/>
      <c r="AO1195" s="33"/>
      <c r="AP1195" s="33"/>
      <c r="AQ1195" s="33"/>
      <c r="AR1195" s="33"/>
      <c r="AS1195" s="33"/>
      <c r="AT1195" s="33"/>
      <c r="AU1195" s="33"/>
      <c r="AV1195" s="33"/>
      <c r="AW1195" s="33"/>
      <c r="AX1195" s="33"/>
    </row>
    <row r="1196" spans="1:50" ht="12">
      <c r="A1196" s="34"/>
      <c r="B1196" s="34"/>
      <c r="C1196" s="34"/>
      <c r="D1196" s="34"/>
      <c r="E1196" s="34"/>
      <c r="F1196" s="34"/>
      <c r="G1196" s="34"/>
      <c r="H1196" s="34"/>
      <c r="I1196" s="34"/>
      <c r="J1196" s="34"/>
      <c r="L1196" s="48"/>
      <c r="M1196" s="33"/>
      <c r="N1196" s="33"/>
      <c r="O1196" s="33"/>
      <c r="P1196" s="29"/>
      <c r="Q1196" s="36"/>
      <c r="R1196" s="33"/>
      <c r="S1196" s="33"/>
      <c r="T1196" s="33"/>
      <c r="U1196" s="33"/>
      <c r="V1196" s="33"/>
      <c r="W1196" s="33"/>
      <c r="X1196" s="33"/>
      <c r="Y1196" s="33"/>
      <c r="Z1196" s="33"/>
      <c r="AA1196" s="33"/>
      <c r="AB1196" s="33"/>
      <c r="AC1196" s="33"/>
      <c r="AD1196" s="33"/>
      <c r="AE1196" s="33"/>
      <c r="AF1196" s="33"/>
      <c r="AG1196" s="33"/>
      <c r="AH1196" s="33"/>
      <c r="AI1196" s="33"/>
      <c r="AJ1196" s="33"/>
      <c r="AK1196" s="33"/>
      <c r="AL1196" s="33"/>
      <c r="AM1196" s="33"/>
      <c r="AN1196" s="33"/>
      <c r="AO1196" s="33"/>
      <c r="AP1196" s="33"/>
      <c r="AQ1196" s="33"/>
      <c r="AR1196" s="33"/>
      <c r="AS1196" s="33"/>
      <c r="AT1196" s="33"/>
      <c r="AU1196" s="33"/>
      <c r="AV1196" s="33"/>
      <c r="AW1196" s="33"/>
      <c r="AX1196" s="33"/>
    </row>
    <row r="1197" spans="1:50" ht="12">
      <c r="A1197" s="34"/>
      <c r="B1197" s="34"/>
      <c r="C1197" s="34"/>
      <c r="D1197" s="34"/>
      <c r="E1197" s="34"/>
      <c r="F1197" s="34"/>
      <c r="G1197" s="34"/>
      <c r="H1197" s="34"/>
      <c r="I1197" s="34"/>
      <c r="J1197" s="34"/>
      <c r="L1197" s="48"/>
      <c r="M1197" s="33"/>
      <c r="N1197" s="33"/>
      <c r="O1197" s="33"/>
      <c r="P1197" s="29"/>
      <c r="Q1197" s="36"/>
      <c r="R1197" s="33"/>
      <c r="S1197" s="33"/>
      <c r="T1197" s="33"/>
      <c r="U1197" s="33"/>
      <c r="V1197" s="33"/>
      <c r="W1197" s="33"/>
      <c r="X1197" s="33"/>
      <c r="Y1197" s="33"/>
      <c r="Z1197" s="33"/>
      <c r="AA1197" s="33"/>
      <c r="AB1197" s="33"/>
      <c r="AC1197" s="33"/>
      <c r="AD1197" s="33"/>
      <c r="AE1197" s="33"/>
      <c r="AF1197" s="33"/>
      <c r="AG1197" s="33"/>
      <c r="AH1197" s="33"/>
      <c r="AI1197" s="33"/>
      <c r="AJ1197" s="33"/>
      <c r="AK1197" s="33"/>
      <c r="AL1197" s="33"/>
      <c r="AM1197" s="33"/>
      <c r="AN1197" s="33"/>
      <c r="AO1197" s="33"/>
      <c r="AP1197" s="33"/>
      <c r="AQ1197" s="33"/>
      <c r="AR1197" s="33"/>
      <c r="AS1197" s="33"/>
      <c r="AT1197" s="33"/>
      <c r="AU1197" s="33"/>
      <c r="AV1197" s="33"/>
      <c r="AW1197" s="33"/>
      <c r="AX1197" s="33"/>
    </row>
    <row r="1198" spans="1:50" ht="12">
      <c r="A1198" s="34"/>
      <c r="B1198" s="34"/>
      <c r="C1198" s="34"/>
      <c r="D1198" s="34"/>
      <c r="E1198" s="34"/>
      <c r="F1198" s="34"/>
      <c r="G1198" s="34"/>
      <c r="H1198" s="34"/>
      <c r="I1198" s="34"/>
      <c r="J1198" s="34"/>
      <c r="L1198" s="48"/>
      <c r="M1198" s="33"/>
      <c r="N1198" s="33"/>
      <c r="O1198" s="33"/>
      <c r="P1198" s="29"/>
      <c r="Q1198" s="36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  <c r="AJ1198" s="33"/>
      <c r="AK1198" s="33"/>
      <c r="AL1198" s="33"/>
      <c r="AM1198" s="33"/>
      <c r="AN1198" s="33"/>
      <c r="AO1198" s="33"/>
      <c r="AP1198" s="33"/>
      <c r="AQ1198" s="33"/>
      <c r="AR1198" s="33"/>
      <c r="AS1198" s="33"/>
      <c r="AT1198" s="33"/>
      <c r="AU1198" s="33"/>
      <c r="AV1198" s="33"/>
      <c r="AW1198" s="33"/>
      <c r="AX1198" s="33"/>
    </row>
    <row r="1199" spans="1:50" ht="12">
      <c r="A1199" s="34"/>
      <c r="B1199" s="34"/>
      <c r="C1199" s="34"/>
      <c r="D1199" s="34"/>
      <c r="E1199" s="34"/>
      <c r="F1199" s="34"/>
      <c r="G1199" s="34"/>
      <c r="H1199" s="34"/>
      <c r="I1199" s="34"/>
      <c r="J1199" s="34"/>
      <c r="L1199" s="48"/>
      <c r="M1199" s="33"/>
      <c r="N1199" s="33"/>
      <c r="O1199" s="33"/>
      <c r="P1199" s="29"/>
      <c r="Q1199" s="36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  <c r="AJ1199" s="33"/>
      <c r="AK1199" s="33"/>
      <c r="AL1199" s="33"/>
      <c r="AM1199" s="33"/>
      <c r="AN1199" s="33"/>
      <c r="AO1199" s="33"/>
      <c r="AP1199" s="33"/>
      <c r="AQ1199" s="33"/>
      <c r="AR1199" s="33"/>
      <c r="AS1199" s="33"/>
      <c r="AT1199" s="33"/>
      <c r="AU1199" s="33"/>
      <c r="AV1199" s="33"/>
      <c r="AW1199" s="33"/>
      <c r="AX1199" s="33"/>
    </row>
    <row r="1200" spans="1:50" ht="12">
      <c r="A1200" s="34"/>
      <c r="B1200" s="34"/>
      <c r="C1200" s="34"/>
      <c r="D1200" s="34"/>
      <c r="E1200" s="34"/>
      <c r="F1200" s="34"/>
      <c r="G1200" s="34"/>
      <c r="H1200" s="34"/>
      <c r="I1200" s="34"/>
      <c r="J1200" s="34"/>
      <c r="L1200" s="48"/>
      <c r="M1200" s="33"/>
      <c r="N1200" s="33"/>
      <c r="O1200" s="33"/>
      <c r="P1200" s="29"/>
      <c r="Q1200" s="36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  <c r="AJ1200" s="33"/>
      <c r="AK1200" s="33"/>
      <c r="AL1200" s="33"/>
      <c r="AM1200" s="33"/>
      <c r="AN1200" s="33"/>
      <c r="AO1200" s="33"/>
      <c r="AP1200" s="33"/>
      <c r="AQ1200" s="33"/>
      <c r="AR1200" s="33"/>
      <c r="AS1200" s="33"/>
      <c r="AT1200" s="33"/>
      <c r="AU1200" s="33"/>
      <c r="AV1200" s="33"/>
      <c r="AW1200" s="33"/>
      <c r="AX1200" s="33"/>
    </row>
    <row r="1201" spans="1:50" ht="12">
      <c r="A1201" s="34"/>
      <c r="B1201" s="34"/>
      <c r="C1201" s="34"/>
      <c r="D1201" s="34"/>
      <c r="E1201" s="34"/>
      <c r="F1201" s="34"/>
      <c r="G1201" s="34"/>
      <c r="H1201" s="34"/>
      <c r="I1201" s="34"/>
      <c r="J1201" s="34"/>
      <c r="L1201" s="48"/>
      <c r="M1201" s="33"/>
      <c r="N1201" s="33"/>
      <c r="O1201" s="33"/>
      <c r="P1201" s="29"/>
      <c r="Q1201" s="36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  <c r="AJ1201" s="33"/>
      <c r="AK1201" s="33"/>
      <c r="AL1201" s="33"/>
      <c r="AM1201" s="33"/>
      <c r="AN1201" s="33"/>
      <c r="AO1201" s="33"/>
      <c r="AP1201" s="33"/>
      <c r="AQ1201" s="33"/>
      <c r="AR1201" s="33"/>
      <c r="AS1201" s="33"/>
      <c r="AT1201" s="33"/>
      <c r="AU1201" s="33"/>
      <c r="AV1201" s="33"/>
      <c r="AW1201" s="33"/>
      <c r="AX1201" s="33"/>
    </row>
    <row r="1202" spans="1:50" ht="12">
      <c r="A1202" s="34"/>
      <c r="B1202" s="34"/>
      <c r="C1202" s="34"/>
      <c r="D1202" s="34"/>
      <c r="E1202" s="34"/>
      <c r="F1202" s="34"/>
      <c r="G1202" s="34"/>
      <c r="H1202" s="34"/>
      <c r="I1202" s="34"/>
      <c r="J1202" s="34"/>
      <c r="L1202" s="48"/>
      <c r="M1202" s="33"/>
      <c r="N1202" s="33"/>
      <c r="O1202" s="33"/>
      <c r="P1202" s="29"/>
      <c r="Q1202" s="36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  <c r="AJ1202" s="33"/>
      <c r="AK1202" s="33"/>
      <c r="AL1202" s="33"/>
      <c r="AM1202" s="33"/>
      <c r="AN1202" s="33"/>
      <c r="AO1202" s="33"/>
      <c r="AP1202" s="33"/>
      <c r="AQ1202" s="33"/>
      <c r="AR1202" s="33"/>
      <c r="AS1202" s="33"/>
      <c r="AT1202" s="33"/>
      <c r="AU1202" s="33"/>
      <c r="AV1202" s="33"/>
      <c r="AW1202" s="33"/>
      <c r="AX1202" s="33"/>
    </row>
    <row r="1203" spans="1:50" ht="12">
      <c r="A1203" s="34"/>
      <c r="B1203" s="34"/>
      <c r="C1203" s="34"/>
      <c r="D1203" s="34"/>
      <c r="E1203" s="34"/>
      <c r="F1203" s="34"/>
      <c r="G1203" s="34"/>
      <c r="H1203" s="34"/>
      <c r="I1203" s="34"/>
      <c r="J1203" s="34"/>
      <c r="L1203" s="48"/>
      <c r="M1203" s="33"/>
      <c r="N1203" s="33"/>
      <c r="O1203" s="33"/>
      <c r="P1203" s="29"/>
      <c r="Q1203" s="36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  <c r="AJ1203" s="33"/>
      <c r="AK1203" s="33"/>
      <c r="AL1203" s="33"/>
      <c r="AM1203" s="33"/>
      <c r="AN1203" s="33"/>
      <c r="AO1203" s="33"/>
      <c r="AP1203" s="33"/>
      <c r="AQ1203" s="33"/>
      <c r="AR1203" s="33"/>
      <c r="AS1203" s="33"/>
      <c r="AT1203" s="33"/>
      <c r="AU1203" s="33"/>
      <c r="AV1203" s="33"/>
      <c r="AW1203" s="33"/>
      <c r="AX1203" s="33"/>
    </row>
    <row r="1204" spans="1:50" ht="12">
      <c r="A1204" s="34"/>
      <c r="B1204" s="34"/>
      <c r="C1204" s="34"/>
      <c r="D1204" s="34"/>
      <c r="E1204" s="34"/>
      <c r="F1204" s="34"/>
      <c r="G1204" s="34"/>
      <c r="H1204" s="34"/>
      <c r="I1204" s="34"/>
      <c r="J1204" s="34"/>
      <c r="L1204" s="48"/>
      <c r="M1204" s="33"/>
      <c r="N1204" s="33"/>
      <c r="O1204" s="33"/>
      <c r="P1204" s="29"/>
      <c r="Q1204" s="36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  <c r="AJ1204" s="33"/>
      <c r="AK1204" s="33"/>
      <c r="AL1204" s="33"/>
      <c r="AM1204" s="33"/>
      <c r="AN1204" s="33"/>
      <c r="AO1204" s="33"/>
      <c r="AP1204" s="33"/>
      <c r="AQ1204" s="33"/>
      <c r="AR1204" s="33"/>
      <c r="AS1204" s="33"/>
      <c r="AT1204" s="33"/>
      <c r="AU1204" s="33"/>
      <c r="AV1204" s="33"/>
      <c r="AW1204" s="33"/>
      <c r="AX1204" s="33"/>
    </row>
    <row r="1205" spans="1:50" ht="12">
      <c r="A1205" s="34"/>
      <c r="B1205" s="34"/>
      <c r="C1205" s="34"/>
      <c r="D1205" s="34"/>
      <c r="E1205" s="34"/>
      <c r="F1205" s="34"/>
      <c r="G1205" s="34"/>
      <c r="H1205" s="34"/>
      <c r="I1205" s="34"/>
      <c r="J1205" s="34"/>
      <c r="L1205" s="48"/>
      <c r="M1205" s="33"/>
      <c r="N1205" s="33"/>
      <c r="O1205" s="33"/>
      <c r="P1205" s="29"/>
      <c r="Q1205" s="36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  <c r="AJ1205" s="33"/>
      <c r="AK1205" s="33"/>
      <c r="AL1205" s="33"/>
      <c r="AM1205" s="33"/>
      <c r="AN1205" s="33"/>
      <c r="AO1205" s="33"/>
      <c r="AP1205" s="33"/>
      <c r="AQ1205" s="33"/>
      <c r="AR1205" s="33"/>
      <c r="AS1205" s="33"/>
      <c r="AT1205" s="33"/>
      <c r="AU1205" s="33"/>
      <c r="AV1205" s="33"/>
      <c r="AW1205" s="33"/>
      <c r="AX1205" s="33"/>
    </row>
    <row r="1206" spans="1:50" ht="12">
      <c r="A1206" s="34"/>
      <c r="B1206" s="34"/>
      <c r="C1206" s="34"/>
      <c r="D1206" s="34"/>
      <c r="E1206" s="34"/>
      <c r="F1206" s="34"/>
      <c r="G1206" s="34"/>
      <c r="H1206" s="34"/>
      <c r="I1206" s="34"/>
      <c r="J1206" s="34"/>
      <c r="L1206" s="48"/>
      <c r="M1206" s="33"/>
      <c r="N1206" s="33"/>
      <c r="O1206" s="33"/>
      <c r="P1206" s="29"/>
      <c r="Q1206" s="36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  <c r="AJ1206" s="33"/>
      <c r="AK1206" s="33"/>
      <c r="AL1206" s="33"/>
      <c r="AM1206" s="33"/>
      <c r="AN1206" s="33"/>
      <c r="AO1206" s="33"/>
      <c r="AP1206" s="33"/>
      <c r="AQ1206" s="33"/>
      <c r="AR1206" s="33"/>
      <c r="AS1206" s="33"/>
      <c r="AT1206" s="33"/>
      <c r="AU1206" s="33"/>
      <c r="AV1206" s="33"/>
      <c r="AW1206" s="33"/>
      <c r="AX1206" s="33"/>
    </row>
    <row r="1207" spans="1:50" ht="12">
      <c r="A1207" s="34"/>
      <c r="B1207" s="34"/>
      <c r="C1207" s="34"/>
      <c r="D1207" s="34"/>
      <c r="E1207" s="34"/>
      <c r="F1207" s="34"/>
      <c r="G1207" s="34"/>
      <c r="H1207" s="34"/>
      <c r="I1207" s="34"/>
      <c r="J1207" s="34"/>
      <c r="L1207" s="48"/>
      <c r="M1207" s="33"/>
      <c r="N1207" s="33"/>
      <c r="O1207" s="33"/>
      <c r="P1207" s="29"/>
      <c r="Q1207" s="36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  <c r="AJ1207" s="33"/>
      <c r="AK1207" s="33"/>
      <c r="AL1207" s="33"/>
      <c r="AM1207" s="33"/>
      <c r="AN1207" s="33"/>
      <c r="AO1207" s="33"/>
      <c r="AP1207" s="33"/>
      <c r="AQ1207" s="33"/>
      <c r="AR1207" s="33"/>
      <c r="AS1207" s="33"/>
      <c r="AT1207" s="33"/>
      <c r="AU1207" s="33"/>
      <c r="AV1207" s="33"/>
      <c r="AW1207" s="33"/>
      <c r="AX1207" s="33"/>
    </row>
    <row r="1208" spans="1:50" ht="12">
      <c r="A1208" s="34"/>
      <c r="B1208" s="34"/>
      <c r="C1208" s="34"/>
      <c r="D1208" s="34"/>
      <c r="E1208" s="34"/>
      <c r="F1208" s="34"/>
      <c r="G1208" s="34"/>
      <c r="H1208" s="34"/>
      <c r="I1208" s="34"/>
      <c r="J1208" s="34"/>
      <c r="L1208" s="48"/>
      <c r="M1208" s="33"/>
      <c r="N1208" s="33"/>
      <c r="O1208" s="33"/>
      <c r="P1208" s="29"/>
      <c r="Q1208" s="36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  <c r="AJ1208" s="33"/>
      <c r="AK1208" s="33"/>
      <c r="AL1208" s="33"/>
      <c r="AM1208" s="33"/>
      <c r="AN1208" s="33"/>
      <c r="AO1208" s="33"/>
      <c r="AP1208" s="33"/>
      <c r="AQ1208" s="33"/>
      <c r="AR1208" s="33"/>
      <c r="AS1208" s="33"/>
      <c r="AT1208" s="33"/>
      <c r="AU1208" s="33"/>
      <c r="AV1208" s="33"/>
      <c r="AW1208" s="33"/>
      <c r="AX1208" s="33"/>
    </row>
    <row r="1209" spans="1:50" ht="12">
      <c r="A1209" s="34"/>
      <c r="B1209" s="34"/>
      <c r="C1209" s="34"/>
      <c r="D1209" s="34"/>
      <c r="E1209" s="34"/>
      <c r="F1209" s="34"/>
      <c r="G1209" s="34"/>
      <c r="H1209" s="34"/>
      <c r="I1209" s="34"/>
      <c r="J1209" s="34"/>
      <c r="L1209" s="48"/>
      <c r="M1209" s="33"/>
      <c r="N1209" s="33"/>
      <c r="O1209" s="33"/>
      <c r="P1209" s="29"/>
      <c r="Q1209" s="36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  <c r="AJ1209" s="33"/>
      <c r="AK1209" s="33"/>
      <c r="AL1209" s="33"/>
      <c r="AM1209" s="33"/>
      <c r="AN1209" s="33"/>
      <c r="AO1209" s="33"/>
      <c r="AP1209" s="33"/>
      <c r="AQ1209" s="33"/>
      <c r="AR1209" s="33"/>
      <c r="AS1209" s="33"/>
      <c r="AT1209" s="33"/>
      <c r="AU1209" s="33"/>
      <c r="AV1209" s="33"/>
      <c r="AW1209" s="33"/>
      <c r="AX1209" s="33"/>
    </row>
    <row r="1210" spans="1:50" ht="12">
      <c r="A1210" s="34"/>
      <c r="B1210" s="34"/>
      <c r="C1210" s="34"/>
      <c r="D1210" s="34"/>
      <c r="E1210" s="34"/>
      <c r="F1210" s="34"/>
      <c r="G1210" s="34"/>
      <c r="H1210" s="34"/>
      <c r="I1210" s="34"/>
      <c r="J1210" s="34"/>
      <c r="L1210" s="48"/>
      <c r="M1210" s="33"/>
      <c r="N1210" s="33"/>
      <c r="O1210" s="33"/>
      <c r="P1210" s="29"/>
      <c r="Q1210" s="36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  <c r="AJ1210" s="33"/>
      <c r="AK1210" s="33"/>
      <c r="AL1210" s="33"/>
      <c r="AM1210" s="33"/>
      <c r="AN1210" s="33"/>
      <c r="AO1210" s="33"/>
      <c r="AP1210" s="33"/>
      <c r="AQ1210" s="33"/>
      <c r="AR1210" s="33"/>
      <c r="AS1210" s="33"/>
      <c r="AT1210" s="33"/>
      <c r="AU1210" s="33"/>
      <c r="AV1210" s="33"/>
      <c r="AW1210" s="33"/>
      <c r="AX1210" s="33"/>
    </row>
    <row r="1211" spans="1:50" ht="12">
      <c r="A1211" s="34"/>
      <c r="B1211" s="34"/>
      <c r="C1211" s="34"/>
      <c r="D1211" s="34"/>
      <c r="E1211" s="34"/>
      <c r="F1211" s="34"/>
      <c r="G1211" s="34"/>
      <c r="H1211" s="34"/>
      <c r="I1211" s="34"/>
      <c r="J1211" s="34"/>
      <c r="L1211" s="48"/>
      <c r="M1211" s="33"/>
      <c r="N1211" s="33"/>
      <c r="O1211" s="33"/>
      <c r="P1211" s="29"/>
      <c r="Q1211" s="36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  <c r="AJ1211" s="33"/>
      <c r="AK1211" s="33"/>
      <c r="AL1211" s="33"/>
      <c r="AM1211" s="33"/>
      <c r="AN1211" s="33"/>
      <c r="AO1211" s="33"/>
      <c r="AP1211" s="33"/>
      <c r="AQ1211" s="33"/>
      <c r="AR1211" s="33"/>
      <c r="AS1211" s="33"/>
      <c r="AT1211" s="33"/>
      <c r="AU1211" s="33"/>
      <c r="AV1211" s="33"/>
      <c r="AW1211" s="33"/>
      <c r="AX1211" s="33"/>
    </row>
    <row r="1212" spans="1:50" ht="12">
      <c r="A1212" s="34"/>
      <c r="B1212" s="34"/>
      <c r="C1212" s="34"/>
      <c r="D1212" s="34"/>
      <c r="E1212" s="34"/>
      <c r="F1212" s="34"/>
      <c r="G1212" s="34"/>
      <c r="H1212" s="34"/>
      <c r="I1212" s="34"/>
      <c r="J1212" s="34"/>
      <c r="L1212" s="48"/>
      <c r="M1212" s="33"/>
      <c r="N1212" s="33"/>
      <c r="O1212" s="33"/>
      <c r="P1212" s="29"/>
      <c r="Q1212" s="36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  <c r="AJ1212" s="33"/>
      <c r="AK1212" s="33"/>
      <c r="AL1212" s="33"/>
      <c r="AM1212" s="33"/>
      <c r="AN1212" s="33"/>
      <c r="AO1212" s="33"/>
      <c r="AP1212" s="33"/>
      <c r="AQ1212" s="33"/>
      <c r="AR1212" s="33"/>
      <c r="AS1212" s="33"/>
      <c r="AT1212" s="33"/>
      <c r="AU1212" s="33"/>
      <c r="AV1212" s="33"/>
      <c r="AW1212" s="33"/>
      <c r="AX1212" s="33"/>
    </row>
    <row r="1213" spans="1:50" ht="12">
      <c r="A1213" s="34"/>
      <c r="B1213" s="34"/>
      <c r="C1213" s="34"/>
      <c r="D1213" s="34"/>
      <c r="E1213" s="34"/>
      <c r="F1213" s="34"/>
      <c r="G1213" s="34"/>
      <c r="H1213" s="34"/>
      <c r="I1213" s="34"/>
      <c r="J1213" s="34"/>
      <c r="L1213" s="48"/>
      <c r="M1213" s="33"/>
      <c r="N1213" s="33"/>
      <c r="O1213" s="33"/>
      <c r="P1213" s="29"/>
      <c r="Q1213" s="36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  <c r="AJ1213" s="33"/>
      <c r="AK1213" s="33"/>
      <c r="AL1213" s="33"/>
      <c r="AM1213" s="33"/>
      <c r="AN1213" s="33"/>
      <c r="AO1213" s="33"/>
      <c r="AP1213" s="33"/>
      <c r="AQ1213" s="33"/>
      <c r="AR1213" s="33"/>
      <c r="AS1213" s="33"/>
      <c r="AT1213" s="33"/>
      <c r="AU1213" s="33"/>
      <c r="AV1213" s="33"/>
      <c r="AW1213" s="33"/>
      <c r="AX1213" s="33"/>
    </row>
    <row r="1214" spans="1:50" ht="12">
      <c r="A1214" s="34"/>
      <c r="B1214" s="34"/>
      <c r="C1214" s="34"/>
      <c r="D1214" s="34"/>
      <c r="E1214" s="34"/>
      <c r="F1214" s="34"/>
      <c r="G1214" s="34"/>
      <c r="H1214" s="34"/>
      <c r="I1214" s="34"/>
      <c r="J1214" s="34"/>
      <c r="L1214" s="48"/>
      <c r="M1214" s="33"/>
      <c r="N1214" s="33"/>
      <c r="O1214" s="33"/>
      <c r="P1214" s="29"/>
      <c r="Q1214" s="36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  <c r="AJ1214" s="33"/>
      <c r="AK1214" s="33"/>
      <c r="AL1214" s="33"/>
      <c r="AM1214" s="33"/>
      <c r="AN1214" s="33"/>
      <c r="AO1214" s="33"/>
      <c r="AP1214" s="33"/>
      <c r="AQ1214" s="33"/>
      <c r="AR1214" s="33"/>
      <c r="AS1214" s="33"/>
      <c r="AT1214" s="33"/>
      <c r="AU1214" s="33"/>
      <c r="AV1214" s="33"/>
      <c r="AW1214" s="33"/>
      <c r="AX1214" s="33"/>
    </row>
    <row r="1215" spans="1:50" ht="12">
      <c r="A1215" s="34"/>
      <c r="B1215" s="34"/>
      <c r="C1215" s="34"/>
      <c r="D1215" s="34"/>
      <c r="E1215" s="34"/>
      <c r="F1215" s="34"/>
      <c r="G1215" s="34"/>
      <c r="H1215" s="34"/>
      <c r="I1215" s="34"/>
      <c r="J1215" s="34"/>
      <c r="L1215" s="48"/>
      <c r="M1215" s="33"/>
      <c r="N1215" s="33"/>
      <c r="O1215" s="33"/>
      <c r="P1215" s="29"/>
      <c r="Q1215" s="36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  <c r="AJ1215" s="33"/>
      <c r="AK1215" s="33"/>
      <c r="AL1215" s="33"/>
      <c r="AM1215" s="33"/>
      <c r="AN1215" s="33"/>
      <c r="AO1215" s="33"/>
      <c r="AP1215" s="33"/>
      <c r="AQ1215" s="33"/>
      <c r="AR1215" s="33"/>
      <c r="AS1215" s="33"/>
      <c r="AT1215" s="33"/>
      <c r="AU1215" s="33"/>
      <c r="AV1215" s="33"/>
      <c r="AW1215" s="33"/>
      <c r="AX1215" s="33"/>
    </row>
    <row r="1216" spans="1:50" ht="12">
      <c r="A1216" s="34"/>
      <c r="B1216" s="34"/>
      <c r="C1216" s="34"/>
      <c r="D1216" s="34"/>
      <c r="E1216" s="34"/>
      <c r="F1216" s="34"/>
      <c r="G1216" s="34"/>
      <c r="H1216" s="34"/>
      <c r="I1216" s="34"/>
      <c r="J1216" s="34"/>
      <c r="L1216" s="48"/>
      <c r="M1216" s="33"/>
      <c r="N1216" s="33"/>
      <c r="O1216" s="33"/>
      <c r="P1216" s="29"/>
      <c r="Q1216" s="36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  <c r="AJ1216" s="33"/>
      <c r="AK1216" s="33"/>
      <c r="AL1216" s="33"/>
      <c r="AM1216" s="33"/>
      <c r="AN1216" s="33"/>
      <c r="AO1216" s="33"/>
      <c r="AP1216" s="33"/>
      <c r="AQ1216" s="33"/>
      <c r="AR1216" s="33"/>
      <c r="AS1216" s="33"/>
      <c r="AT1216" s="33"/>
      <c r="AU1216" s="33"/>
      <c r="AV1216" s="33"/>
      <c r="AW1216" s="33"/>
      <c r="AX1216" s="33"/>
    </row>
    <row r="1217" spans="1:50" ht="12">
      <c r="A1217" s="34"/>
      <c r="B1217" s="34"/>
      <c r="C1217" s="34"/>
      <c r="D1217" s="34"/>
      <c r="E1217" s="34"/>
      <c r="F1217" s="34"/>
      <c r="G1217" s="34"/>
      <c r="H1217" s="34"/>
      <c r="I1217" s="34"/>
      <c r="J1217" s="34"/>
      <c r="L1217" s="48"/>
      <c r="M1217" s="33"/>
      <c r="N1217" s="33"/>
      <c r="O1217" s="33"/>
      <c r="P1217" s="29"/>
      <c r="Q1217" s="36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  <c r="AJ1217" s="33"/>
      <c r="AK1217" s="33"/>
      <c r="AL1217" s="33"/>
      <c r="AM1217" s="33"/>
      <c r="AN1217" s="33"/>
      <c r="AO1217" s="33"/>
      <c r="AP1217" s="33"/>
      <c r="AQ1217" s="33"/>
      <c r="AR1217" s="33"/>
      <c r="AS1217" s="33"/>
      <c r="AT1217" s="33"/>
      <c r="AU1217" s="33"/>
      <c r="AV1217" s="33"/>
      <c r="AW1217" s="33"/>
      <c r="AX1217" s="33"/>
    </row>
    <row r="1218" spans="1:50" ht="12">
      <c r="A1218" s="34"/>
      <c r="B1218" s="34"/>
      <c r="C1218" s="34"/>
      <c r="D1218" s="34"/>
      <c r="E1218" s="34"/>
      <c r="F1218" s="34"/>
      <c r="G1218" s="34"/>
      <c r="H1218" s="34"/>
      <c r="I1218" s="34"/>
      <c r="J1218" s="34"/>
      <c r="L1218" s="48"/>
      <c r="M1218" s="33"/>
      <c r="N1218" s="33"/>
      <c r="O1218" s="33"/>
      <c r="P1218" s="29"/>
      <c r="Q1218" s="36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  <c r="AJ1218" s="33"/>
      <c r="AK1218" s="33"/>
      <c r="AL1218" s="33"/>
      <c r="AM1218" s="33"/>
      <c r="AN1218" s="33"/>
      <c r="AO1218" s="33"/>
      <c r="AP1218" s="33"/>
      <c r="AQ1218" s="33"/>
      <c r="AR1218" s="33"/>
      <c r="AS1218" s="33"/>
      <c r="AT1218" s="33"/>
      <c r="AU1218" s="33"/>
      <c r="AV1218" s="33"/>
      <c r="AW1218" s="33"/>
      <c r="AX1218" s="33"/>
    </row>
    <row r="1219" spans="1:50" ht="12">
      <c r="A1219" s="34"/>
      <c r="B1219" s="34"/>
      <c r="C1219" s="34"/>
      <c r="D1219" s="34"/>
      <c r="E1219" s="34"/>
      <c r="F1219" s="34"/>
      <c r="G1219" s="34"/>
      <c r="H1219" s="34"/>
      <c r="I1219" s="34"/>
      <c r="J1219" s="34"/>
      <c r="L1219" s="48"/>
      <c r="M1219" s="33"/>
      <c r="N1219" s="33"/>
      <c r="O1219" s="33"/>
      <c r="P1219" s="29"/>
      <c r="Q1219" s="36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  <c r="AJ1219" s="33"/>
      <c r="AK1219" s="33"/>
      <c r="AL1219" s="33"/>
      <c r="AM1219" s="33"/>
      <c r="AN1219" s="33"/>
      <c r="AO1219" s="33"/>
      <c r="AP1219" s="33"/>
      <c r="AQ1219" s="33"/>
      <c r="AR1219" s="33"/>
      <c r="AS1219" s="33"/>
      <c r="AT1219" s="33"/>
      <c r="AU1219" s="33"/>
      <c r="AV1219" s="33"/>
      <c r="AW1219" s="33"/>
      <c r="AX1219" s="33"/>
    </row>
    <row r="1220" spans="1:50" ht="12">
      <c r="A1220" s="34"/>
      <c r="B1220" s="34"/>
      <c r="C1220" s="34"/>
      <c r="D1220" s="34"/>
      <c r="E1220" s="34"/>
      <c r="F1220" s="34"/>
      <c r="G1220" s="34"/>
      <c r="H1220" s="34"/>
      <c r="I1220" s="34"/>
      <c r="J1220" s="34"/>
      <c r="L1220" s="48"/>
      <c r="M1220" s="33"/>
      <c r="N1220" s="33"/>
      <c r="O1220" s="33"/>
      <c r="P1220" s="29"/>
      <c r="Q1220" s="36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  <c r="AJ1220" s="33"/>
      <c r="AK1220" s="33"/>
      <c r="AL1220" s="33"/>
      <c r="AM1220" s="33"/>
      <c r="AN1220" s="33"/>
      <c r="AO1220" s="33"/>
      <c r="AP1220" s="33"/>
      <c r="AQ1220" s="33"/>
      <c r="AR1220" s="33"/>
      <c r="AS1220" s="33"/>
      <c r="AT1220" s="33"/>
      <c r="AU1220" s="33"/>
      <c r="AV1220" s="33"/>
      <c r="AW1220" s="33"/>
      <c r="AX1220" s="33"/>
    </row>
    <row r="1221" spans="1:50" ht="12">
      <c r="A1221" s="34"/>
      <c r="B1221" s="34"/>
      <c r="C1221" s="34"/>
      <c r="D1221" s="34"/>
      <c r="E1221" s="34"/>
      <c r="F1221" s="34"/>
      <c r="G1221" s="34"/>
      <c r="H1221" s="34"/>
      <c r="I1221" s="34"/>
      <c r="J1221" s="34"/>
      <c r="L1221" s="48"/>
      <c r="M1221" s="33"/>
      <c r="N1221" s="33"/>
      <c r="O1221" s="33"/>
      <c r="P1221" s="29"/>
      <c r="Q1221" s="36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  <c r="AJ1221" s="33"/>
      <c r="AK1221" s="33"/>
      <c r="AL1221" s="33"/>
      <c r="AM1221" s="33"/>
      <c r="AN1221" s="33"/>
      <c r="AO1221" s="33"/>
      <c r="AP1221" s="33"/>
      <c r="AQ1221" s="33"/>
      <c r="AR1221" s="33"/>
      <c r="AS1221" s="33"/>
      <c r="AT1221" s="33"/>
      <c r="AU1221" s="33"/>
      <c r="AV1221" s="33"/>
      <c r="AW1221" s="33"/>
      <c r="AX1221" s="33"/>
    </row>
    <row r="1222" spans="1:50" ht="12">
      <c r="A1222" s="34"/>
      <c r="B1222" s="34"/>
      <c r="C1222" s="34"/>
      <c r="D1222" s="34"/>
      <c r="E1222" s="34"/>
      <c r="F1222" s="34"/>
      <c r="G1222" s="34"/>
      <c r="H1222" s="34"/>
      <c r="I1222" s="34"/>
      <c r="J1222" s="34"/>
      <c r="L1222" s="48"/>
      <c r="M1222" s="33"/>
      <c r="N1222" s="33"/>
      <c r="O1222" s="33"/>
      <c r="P1222" s="29"/>
      <c r="Q1222" s="36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  <c r="AJ1222" s="33"/>
      <c r="AK1222" s="33"/>
      <c r="AL1222" s="33"/>
      <c r="AM1222" s="33"/>
      <c r="AN1222" s="33"/>
      <c r="AO1222" s="33"/>
      <c r="AP1222" s="33"/>
      <c r="AQ1222" s="33"/>
      <c r="AR1222" s="33"/>
      <c r="AS1222" s="33"/>
      <c r="AT1222" s="33"/>
      <c r="AU1222" s="33"/>
      <c r="AV1222" s="33"/>
      <c r="AW1222" s="33"/>
      <c r="AX1222" s="33"/>
    </row>
    <row r="1223" spans="1:50" ht="12">
      <c r="A1223" s="34"/>
      <c r="B1223" s="34"/>
      <c r="C1223" s="34"/>
      <c r="D1223" s="34"/>
      <c r="E1223" s="34"/>
      <c r="F1223" s="34"/>
      <c r="G1223" s="34"/>
      <c r="H1223" s="34"/>
      <c r="I1223" s="34"/>
      <c r="J1223" s="34"/>
      <c r="L1223" s="48"/>
      <c r="M1223" s="33"/>
      <c r="N1223" s="33"/>
      <c r="O1223" s="33"/>
      <c r="P1223" s="29"/>
      <c r="Q1223" s="36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  <c r="AJ1223" s="33"/>
      <c r="AK1223" s="33"/>
      <c r="AL1223" s="33"/>
      <c r="AM1223" s="33"/>
      <c r="AN1223" s="33"/>
      <c r="AO1223" s="33"/>
      <c r="AP1223" s="33"/>
      <c r="AQ1223" s="33"/>
      <c r="AR1223" s="33"/>
      <c r="AS1223" s="33"/>
      <c r="AT1223" s="33"/>
      <c r="AU1223" s="33"/>
      <c r="AV1223" s="33"/>
      <c r="AW1223" s="33"/>
      <c r="AX1223" s="33"/>
    </row>
    <row r="1224" spans="1:50" ht="12">
      <c r="A1224" s="34"/>
      <c r="B1224" s="34"/>
      <c r="C1224" s="34"/>
      <c r="D1224" s="34"/>
      <c r="E1224" s="34"/>
      <c r="F1224" s="34"/>
      <c r="G1224" s="34"/>
      <c r="H1224" s="34"/>
      <c r="I1224" s="34"/>
      <c r="J1224" s="34"/>
      <c r="L1224" s="48"/>
      <c r="M1224" s="33"/>
      <c r="N1224" s="33"/>
      <c r="O1224" s="33"/>
      <c r="P1224" s="29"/>
      <c r="Q1224" s="36"/>
      <c r="R1224" s="33"/>
      <c r="S1224" s="33"/>
      <c r="T1224" s="33"/>
      <c r="U1224" s="33"/>
      <c r="V1224" s="33"/>
      <c r="W1224" s="33"/>
      <c r="X1224" s="33"/>
      <c r="Y1224" s="33"/>
      <c r="Z1224" s="33"/>
      <c r="AA1224" s="33"/>
      <c r="AB1224" s="33"/>
      <c r="AC1224" s="33"/>
      <c r="AD1224" s="33"/>
      <c r="AE1224" s="33"/>
      <c r="AF1224" s="33"/>
      <c r="AG1224" s="33"/>
      <c r="AH1224" s="33"/>
      <c r="AI1224" s="33"/>
      <c r="AJ1224" s="33"/>
      <c r="AK1224" s="33"/>
      <c r="AL1224" s="33"/>
      <c r="AM1224" s="33"/>
      <c r="AN1224" s="33"/>
      <c r="AO1224" s="33"/>
      <c r="AP1224" s="33"/>
      <c r="AQ1224" s="33"/>
      <c r="AR1224" s="33"/>
      <c r="AS1224" s="33"/>
      <c r="AT1224" s="33"/>
      <c r="AU1224" s="33"/>
      <c r="AV1224" s="33"/>
      <c r="AW1224" s="33"/>
      <c r="AX1224" s="33"/>
    </row>
    <row r="1225" spans="1:50" ht="12">
      <c r="A1225" s="34"/>
      <c r="B1225" s="34"/>
      <c r="C1225" s="34"/>
      <c r="D1225" s="34"/>
      <c r="E1225" s="34"/>
      <c r="F1225" s="34"/>
      <c r="G1225" s="34"/>
      <c r="H1225" s="34"/>
      <c r="I1225" s="34"/>
      <c r="J1225" s="34"/>
      <c r="L1225" s="48"/>
      <c r="M1225" s="33"/>
      <c r="N1225" s="33"/>
      <c r="O1225" s="33"/>
      <c r="P1225" s="29"/>
      <c r="Q1225" s="36"/>
      <c r="R1225" s="33"/>
      <c r="S1225" s="33"/>
      <c r="T1225" s="33"/>
      <c r="U1225" s="33"/>
      <c r="V1225" s="33"/>
      <c r="W1225" s="33"/>
      <c r="X1225" s="33"/>
      <c r="Y1225" s="33"/>
      <c r="Z1225" s="33"/>
      <c r="AA1225" s="33"/>
      <c r="AB1225" s="33"/>
      <c r="AC1225" s="33"/>
      <c r="AD1225" s="33"/>
      <c r="AE1225" s="33"/>
      <c r="AF1225" s="33"/>
      <c r="AG1225" s="33"/>
      <c r="AH1225" s="33"/>
      <c r="AI1225" s="33"/>
      <c r="AJ1225" s="33"/>
      <c r="AK1225" s="33"/>
      <c r="AL1225" s="33"/>
      <c r="AM1225" s="33"/>
      <c r="AN1225" s="33"/>
      <c r="AO1225" s="33"/>
      <c r="AP1225" s="33"/>
      <c r="AQ1225" s="33"/>
      <c r="AR1225" s="33"/>
      <c r="AS1225" s="33"/>
      <c r="AT1225" s="33"/>
      <c r="AU1225" s="33"/>
      <c r="AV1225" s="33"/>
      <c r="AW1225" s="33"/>
      <c r="AX1225" s="33"/>
    </row>
    <row r="1226" spans="1:50" ht="12">
      <c r="A1226" s="34"/>
      <c r="B1226" s="34"/>
      <c r="C1226" s="34"/>
      <c r="D1226" s="34"/>
      <c r="E1226" s="34"/>
      <c r="F1226" s="34"/>
      <c r="G1226" s="34"/>
      <c r="H1226" s="34"/>
      <c r="I1226" s="34"/>
      <c r="J1226" s="34"/>
      <c r="L1226" s="48"/>
      <c r="M1226" s="33"/>
      <c r="N1226" s="33"/>
      <c r="O1226" s="33"/>
      <c r="P1226" s="29"/>
      <c r="Q1226" s="36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  <c r="AJ1226" s="33"/>
      <c r="AK1226" s="33"/>
      <c r="AL1226" s="33"/>
      <c r="AM1226" s="33"/>
      <c r="AN1226" s="33"/>
      <c r="AO1226" s="33"/>
      <c r="AP1226" s="33"/>
      <c r="AQ1226" s="33"/>
      <c r="AR1226" s="33"/>
      <c r="AS1226" s="33"/>
      <c r="AT1226" s="33"/>
      <c r="AU1226" s="33"/>
      <c r="AV1226" s="33"/>
      <c r="AW1226" s="33"/>
      <c r="AX1226" s="33"/>
    </row>
    <row r="1227" spans="1:50" ht="12">
      <c r="A1227" s="34"/>
      <c r="B1227" s="34"/>
      <c r="C1227" s="34"/>
      <c r="D1227" s="34"/>
      <c r="E1227" s="34"/>
      <c r="F1227" s="34"/>
      <c r="G1227" s="34"/>
      <c r="H1227" s="34"/>
      <c r="I1227" s="34"/>
      <c r="J1227" s="34"/>
      <c r="L1227" s="48"/>
      <c r="M1227" s="33"/>
      <c r="N1227" s="33"/>
      <c r="O1227" s="33"/>
      <c r="P1227" s="29"/>
      <c r="Q1227" s="36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  <c r="AJ1227" s="33"/>
      <c r="AK1227" s="33"/>
      <c r="AL1227" s="33"/>
      <c r="AM1227" s="33"/>
      <c r="AN1227" s="33"/>
      <c r="AO1227" s="33"/>
      <c r="AP1227" s="33"/>
      <c r="AQ1227" s="33"/>
      <c r="AR1227" s="33"/>
      <c r="AS1227" s="33"/>
      <c r="AT1227" s="33"/>
      <c r="AU1227" s="33"/>
      <c r="AV1227" s="33"/>
      <c r="AW1227" s="33"/>
      <c r="AX1227" s="33"/>
    </row>
    <row r="1228" spans="1:50" ht="12">
      <c r="A1228" s="34"/>
      <c r="B1228" s="34"/>
      <c r="C1228" s="34"/>
      <c r="D1228" s="34"/>
      <c r="E1228" s="34"/>
      <c r="F1228" s="34"/>
      <c r="G1228" s="34"/>
      <c r="H1228" s="34"/>
      <c r="I1228" s="34"/>
      <c r="J1228" s="34"/>
      <c r="L1228" s="48"/>
      <c r="M1228" s="33"/>
      <c r="N1228" s="33"/>
      <c r="O1228" s="33"/>
      <c r="P1228" s="29"/>
      <c r="Q1228" s="36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  <c r="AJ1228" s="33"/>
      <c r="AK1228" s="33"/>
      <c r="AL1228" s="33"/>
      <c r="AM1228" s="33"/>
      <c r="AN1228" s="33"/>
      <c r="AO1228" s="33"/>
      <c r="AP1228" s="33"/>
      <c r="AQ1228" s="33"/>
      <c r="AR1228" s="33"/>
      <c r="AS1228" s="33"/>
      <c r="AT1228" s="33"/>
      <c r="AU1228" s="33"/>
      <c r="AV1228" s="33"/>
      <c r="AW1228" s="33"/>
      <c r="AX1228" s="33"/>
    </row>
    <row r="1229" spans="1:50" ht="12">
      <c r="A1229" s="34"/>
      <c r="B1229" s="34"/>
      <c r="C1229" s="34"/>
      <c r="D1229" s="34"/>
      <c r="E1229" s="34"/>
      <c r="F1229" s="34"/>
      <c r="G1229" s="34"/>
      <c r="H1229" s="34"/>
      <c r="I1229" s="34"/>
      <c r="J1229" s="34"/>
      <c r="L1229" s="48"/>
      <c r="M1229" s="33"/>
      <c r="N1229" s="33"/>
      <c r="O1229" s="33"/>
      <c r="P1229" s="29"/>
      <c r="Q1229" s="36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  <c r="AJ1229" s="33"/>
      <c r="AK1229" s="33"/>
      <c r="AL1229" s="33"/>
      <c r="AM1229" s="33"/>
      <c r="AN1229" s="33"/>
      <c r="AO1229" s="33"/>
      <c r="AP1229" s="33"/>
      <c r="AQ1229" s="33"/>
      <c r="AR1229" s="33"/>
      <c r="AS1229" s="33"/>
      <c r="AT1229" s="33"/>
      <c r="AU1229" s="33"/>
      <c r="AV1229" s="33"/>
      <c r="AW1229" s="33"/>
      <c r="AX1229" s="33"/>
    </row>
    <row r="1230" spans="1:50" ht="12">
      <c r="A1230" s="34"/>
      <c r="B1230" s="34"/>
      <c r="C1230" s="34"/>
      <c r="D1230" s="34"/>
      <c r="E1230" s="34"/>
      <c r="F1230" s="34"/>
      <c r="G1230" s="34"/>
      <c r="H1230" s="34"/>
      <c r="I1230" s="34"/>
      <c r="J1230" s="34"/>
      <c r="L1230" s="48"/>
      <c r="M1230" s="33"/>
      <c r="N1230" s="33"/>
      <c r="O1230" s="33"/>
      <c r="P1230" s="29"/>
      <c r="Q1230" s="36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  <c r="AJ1230" s="33"/>
      <c r="AK1230" s="33"/>
      <c r="AL1230" s="33"/>
      <c r="AM1230" s="33"/>
      <c r="AN1230" s="33"/>
      <c r="AO1230" s="33"/>
      <c r="AP1230" s="33"/>
      <c r="AQ1230" s="33"/>
      <c r="AR1230" s="33"/>
      <c r="AS1230" s="33"/>
      <c r="AT1230" s="33"/>
      <c r="AU1230" s="33"/>
      <c r="AV1230" s="33"/>
      <c r="AW1230" s="33"/>
      <c r="AX1230" s="33"/>
    </row>
    <row r="1231" spans="1:50" ht="12">
      <c r="A1231" s="34"/>
      <c r="B1231" s="34"/>
      <c r="C1231" s="34"/>
      <c r="D1231" s="34"/>
      <c r="E1231" s="34"/>
      <c r="F1231" s="34"/>
      <c r="G1231" s="34"/>
      <c r="H1231" s="34"/>
      <c r="I1231" s="34"/>
      <c r="J1231" s="34"/>
      <c r="L1231" s="48"/>
      <c r="M1231" s="33"/>
      <c r="N1231" s="33"/>
      <c r="O1231" s="33"/>
      <c r="P1231" s="29"/>
      <c r="Q1231" s="36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  <c r="AJ1231" s="33"/>
      <c r="AK1231" s="33"/>
      <c r="AL1231" s="33"/>
      <c r="AM1231" s="33"/>
      <c r="AN1231" s="33"/>
      <c r="AO1231" s="33"/>
      <c r="AP1231" s="33"/>
      <c r="AQ1231" s="33"/>
      <c r="AR1231" s="33"/>
      <c r="AS1231" s="33"/>
      <c r="AT1231" s="33"/>
      <c r="AU1231" s="33"/>
      <c r="AV1231" s="33"/>
      <c r="AW1231" s="33"/>
      <c r="AX1231" s="33"/>
    </row>
    <row r="1232" spans="1:50" ht="12">
      <c r="A1232" s="34"/>
      <c r="B1232" s="34"/>
      <c r="C1232" s="34"/>
      <c r="D1232" s="34"/>
      <c r="E1232" s="34"/>
      <c r="F1232" s="34"/>
      <c r="G1232" s="34"/>
      <c r="H1232" s="34"/>
      <c r="I1232" s="34"/>
      <c r="J1232" s="34"/>
      <c r="L1232" s="48"/>
      <c r="M1232" s="33"/>
      <c r="N1232" s="33"/>
      <c r="O1232" s="33"/>
      <c r="P1232" s="29"/>
      <c r="Q1232" s="36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  <c r="AJ1232" s="33"/>
      <c r="AK1232" s="33"/>
      <c r="AL1232" s="33"/>
      <c r="AM1232" s="33"/>
      <c r="AN1232" s="33"/>
      <c r="AO1232" s="33"/>
      <c r="AP1232" s="33"/>
      <c r="AQ1232" s="33"/>
      <c r="AR1232" s="33"/>
      <c r="AS1232" s="33"/>
      <c r="AT1232" s="33"/>
      <c r="AU1232" s="33"/>
      <c r="AV1232" s="33"/>
      <c r="AW1232" s="33"/>
      <c r="AX1232" s="33"/>
    </row>
    <row r="1233" spans="1:50" ht="12">
      <c r="A1233" s="34"/>
      <c r="B1233" s="34"/>
      <c r="C1233" s="34"/>
      <c r="D1233" s="34"/>
      <c r="E1233" s="34"/>
      <c r="F1233" s="34"/>
      <c r="G1233" s="34"/>
      <c r="H1233" s="34"/>
      <c r="I1233" s="34"/>
      <c r="J1233" s="34"/>
      <c r="L1233" s="48"/>
      <c r="M1233" s="33"/>
      <c r="N1233" s="33"/>
      <c r="O1233" s="33"/>
      <c r="P1233" s="29"/>
      <c r="Q1233" s="36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  <c r="AJ1233" s="33"/>
      <c r="AK1233" s="33"/>
      <c r="AL1233" s="33"/>
      <c r="AM1233" s="33"/>
      <c r="AN1233" s="33"/>
      <c r="AO1233" s="33"/>
      <c r="AP1233" s="33"/>
      <c r="AQ1233" s="33"/>
      <c r="AR1233" s="33"/>
      <c r="AS1233" s="33"/>
      <c r="AT1233" s="33"/>
      <c r="AU1233" s="33"/>
      <c r="AV1233" s="33"/>
      <c r="AW1233" s="33"/>
      <c r="AX1233" s="33"/>
    </row>
    <row r="1234" spans="1:50" ht="12">
      <c r="A1234" s="34"/>
      <c r="B1234" s="34"/>
      <c r="C1234" s="34"/>
      <c r="D1234" s="34"/>
      <c r="E1234" s="34"/>
      <c r="F1234" s="34"/>
      <c r="G1234" s="34"/>
      <c r="H1234" s="34"/>
      <c r="I1234" s="34"/>
      <c r="J1234" s="34"/>
      <c r="L1234" s="48"/>
      <c r="M1234" s="33"/>
      <c r="N1234" s="33"/>
      <c r="O1234" s="33"/>
      <c r="P1234" s="29"/>
      <c r="Q1234" s="36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  <c r="AJ1234" s="33"/>
      <c r="AK1234" s="33"/>
      <c r="AL1234" s="33"/>
      <c r="AM1234" s="33"/>
      <c r="AN1234" s="33"/>
      <c r="AO1234" s="33"/>
      <c r="AP1234" s="33"/>
      <c r="AQ1234" s="33"/>
      <c r="AR1234" s="33"/>
      <c r="AS1234" s="33"/>
      <c r="AT1234" s="33"/>
      <c r="AU1234" s="33"/>
      <c r="AV1234" s="33"/>
      <c r="AW1234" s="33"/>
      <c r="AX1234" s="33"/>
    </row>
    <row r="1235" spans="1:50" ht="12">
      <c r="A1235" s="34"/>
      <c r="B1235" s="34"/>
      <c r="C1235" s="34"/>
      <c r="D1235" s="34"/>
      <c r="E1235" s="34"/>
      <c r="F1235" s="34"/>
      <c r="G1235" s="34"/>
      <c r="H1235" s="34"/>
      <c r="I1235" s="34"/>
      <c r="J1235" s="34"/>
      <c r="L1235" s="48"/>
      <c r="M1235" s="33"/>
      <c r="N1235" s="33"/>
      <c r="O1235" s="33"/>
      <c r="P1235" s="29"/>
      <c r="Q1235" s="36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  <c r="AJ1235" s="33"/>
      <c r="AK1235" s="33"/>
      <c r="AL1235" s="33"/>
      <c r="AM1235" s="33"/>
      <c r="AN1235" s="33"/>
      <c r="AO1235" s="33"/>
      <c r="AP1235" s="33"/>
      <c r="AQ1235" s="33"/>
      <c r="AR1235" s="33"/>
      <c r="AS1235" s="33"/>
      <c r="AT1235" s="33"/>
      <c r="AU1235" s="33"/>
      <c r="AV1235" s="33"/>
      <c r="AW1235" s="33"/>
      <c r="AX1235" s="33"/>
    </row>
    <row r="1236" spans="1:50" ht="12">
      <c r="A1236" s="34"/>
      <c r="B1236" s="34"/>
      <c r="C1236" s="34"/>
      <c r="D1236" s="34"/>
      <c r="E1236" s="34"/>
      <c r="F1236" s="34"/>
      <c r="G1236" s="34"/>
      <c r="H1236" s="34"/>
      <c r="I1236" s="34"/>
      <c r="J1236" s="34"/>
      <c r="L1236" s="48"/>
      <c r="M1236" s="33"/>
      <c r="N1236" s="33"/>
      <c r="O1236" s="33"/>
      <c r="P1236" s="29"/>
      <c r="Q1236" s="36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  <c r="AJ1236" s="33"/>
      <c r="AK1236" s="33"/>
      <c r="AL1236" s="33"/>
      <c r="AM1236" s="33"/>
      <c r="AN1236" s="33"/>
      <c r="AO1236" s="33"/>
      <c r="AP1236" s="33"/>
      <c r="AQ1236" s="33"/>
      <c r="AR1236" s="33"/>
      <c r="AS1236" s="33"/>
      <c r="AT1236" s="33"/>
      <c r="AU1236" s="33"/>
      <c r="AV1236" s="33"/>
      <c r="AW1236" s="33"/>
      <c r="AX1236" s="33"/>
    </row>
    <row r="1237" spans="1:50" ht="12">
      <c r="A1237" s="34"/>
      <c r="B1237" s="34"/>
      <c r="C1237" s="34"/>
      <c r="D1237" s="34"/>
      <c r="E1237" s="34"/>
      <c r="F1237" s="34"/>
      <c r="G1237" s="34"/>
      <c r="H1237" s="34"/>
      <c r="I1237" s="34"/>
      <c r="J1237" s="34"/>
      <c r="L1237" s="48"/>
      <c r="M1237" s="33"/>
      <c r="N1237" s="33"/>
      <c r="O1237" s="33"/>
      <c r="P1237" s="29"/>
      <c r="Q1237" s="36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  <c r="AJ1237" s="33"/>
      <c r="AK1237" s="33"/>
      <c r="AL1237" s="33"/>
      <c r="AM1237" s="33"/>
      <c r="AN1237" s="33"/>
      <c r="AO1237" s="33"/>
      <c r="AP1237" s="33"/>
      <c r="AQ1237" s="33"/>
      <c r="AR1237" s="33"/>
      <c r="AS1237" s="33"/>
      <c r="AT1237" s="33"/>
      <c r="AU1237" s="33"/>
      <c r="AV1237" s="33"/>
      <c r="AW1237" s="33"/>
      <c r="AX1237" s="33"/>
    </row>
    <row r="1238" spans="1:50" ht="12">
      <c r="A1238" s="34"/>
      <c r="B1238" s="34"/>
      <c r="C1238" s="34"/>
      <c r="D1238" s="34"/>
      <c r="E1238" s="34"/>
      <c r="F1238" s="34"/>
      <c r="G1238" s="34"/>
      <c r="H1238" s="34"/>
      <c r="I1238" s="34"/>
      <c r="J1238" s="34"/>
      <c r="L1238" s="48"/>
      <c r="M1238" s="33"/>
      <c r="N1238" s="33"/>
      <c r="O1238" s="33"/>
      <c r="P1238" s="29"/>
      <c r="Q1238" s="36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  <c r="AJ1238" s="33"/>
      <c r="AK1238" s="33"/>
      <c r="AL1238" s="33"/>
      <c r="AM1238" s="33"/>
      <c r="AN1238" s="33"/>
      <c r="AO1238" s="33"/>
      <c r="AP1238" s="33"/>
      <c r="AQ1238" s="33"/>
      <c r="AR1238" s="33"/>
      <c r="AS1238" s="33"/>
      <c r="AT1238" s="33"/>
      <c r="AU1238" s="33"/>
      <c r="AV1238" s="33"/>
      <c r="AW1238" s="33"/>
      <c r="AX1238" s="33"/>
    </row>
    <row r="1239" spans="1:50" ht="12">
      <c r="A1239" s="34"/>
      <c r="B1239" s="34"/>
      <c r="C1239" s="34"/>
      <c r="D1239" s="34"/>
      <c r="E1239" s="34"/>
      <c r="F1239" s="34"/>
      <c r="G1239" s="34"/>
      <c r="H1239" s="34"/>
      <c r="I1239" s="34"/>
      <c r="J1239" s="34"/>
      <c r="L1239" s="48"/>
      <c r="M1239" s="33"/>
      <c r="N1239" s="33"/>
      <c r="O1239" s="33"/>
      <c r="P1239" s="29"/>
      <c r="Q1239" s="36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  <c r="AJ1239" s="33"/>
      <c r="AK1239" s="33"/>
      <c r="AL1239" s="33"/>
      <c r="AM1239" s="33"/>
      <c r="AN1239" s="33"/>
      <c r="AO1239" s="33"/>
      <c r="AP1239" s="33"/>
      <c r="AQ1239" s="33"/>
      <c r="AR1239" s="33"/>
      <c r="AS1239" s="33"/>
      <c r="AT1239" s="33"/>
      <c r="AU1239" s="33"/>
      <c r="AV1239" s="33"/>
      <c r="AW1239" s="33"/>
      <c r="AX1239" s="33"/>
    </row>
    <row r="1240" spans="1:50" ht="12">
      <c r="A1240" s="34"/>
      <c r="B1240" s="34"/>
      <c r="C1240" s="34"/>
      <c r="D1240" s="34"/>
      <c r="E1240" s="34"/>
      <c r="F1240" s="34"/>
      <c r="G1240" s="34"/>
      <c r="H1240" s="34"/>
      <c r="I1240" s="34"/>
      <c r="J1240" s="34"/>
      <c r="L1240" s="48"/>
      <c r="M1240" s="33"/>
      <c r="N1240" s="33"/>
      <c r="O1240" s="33"/>
      <c r="P1240" s="29"/>
      <c r="Q1240" s="36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  <c r="AJ1240" s="33"/>
      <c r="AK1240" s="33"/>
      <c r="AL1240" s="33"/>
      <c r="AM1240" s="33"/>
      <c r="AN1240" s="33"/>
      <c r="AO1240" s="33"/>
      <c r="AP1240" s="33"/>
      <c r="AQ1240" s="33"/>
      <c r="AR1240" s="33"/>
      <c r="AS1240" s="33"/>
      <c r="AT1240" s="33"/>
      <c r="AU1240" s="33"/>
      <c r="AV1240" s="33"/>
      <c r="AW1240" s="33"/>
      <c r="AX1240" s="33"/>
    </row>
    <row r="1241" spans="1:50" ht="12">
      <c r="A1241" s="34"/>
      <c r="B1241" s="34"/>
      <c r="C1241" s="34"/>
      <c r="D1241" s="34"/>
      <c r="E1241" s="34"/>
      <c r="F1241" s="34"/>
      <c r="G1241" s="34"/>
      <c r="H1241" s="34"/>
      <c r="I1241" s="34"/>
      <c r="J1241" s="34"/>
      <c r="L1241" s="48"/>
      <c r="M1241" s="33"/>
      <c r="N1241" s="33"/>
      <c r="O1241" s="33"/>
      <c r="P1241" s="29"/>
      <c r="Q1241" s="36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  <c r="AJ1241" s="33"/>
      <c r="AK1241" s="33"/>
      <c r="AL1241" s="33"/>
      <c r="AM1241" s="33"/>
      <c r="AN1241" s="33"/>
      <c r="AO1241" s="33"/>
      <c r="AP1241" s="33"/>
      <c r="AQ1241" s="33"/>
      <c r="AR1241" s="33"/>
      <c r="AS1241" s="33"/>
      <c r="AT1241" s="33"/>
      <c r="AU1241" s="33"/>
      <c r="AV1241" s="33"/>
      <c r="AW1241" s="33"/>
      <c r="AX1241" s="33"/>
    </row>
    <row r="1242" spans="1:50" ht="12">
      <c r="A1242" s="34"/>
      <c r="B1242" s="34"/>
      <c r="C1242" s="34"/>
      <c r="D1242" s="34"/>
      <c r="E1242" s="34"/>
      <c r="F1242" s="34"/>
      <c r="G1242" s="34"/>
      <c r="H1242" s="34"/>
      <c r="I1242" s="34"/>
      <c r="J1242" s="34"/>
      <c r="L1242" s="48"/>
      <c r="M1242" s="33"/>
      <c r="N1242" s="33"/>
      <c r="O1242" s="33"/>
      <c r="P1242" s="29"/>
      <c r="Q1242" s="36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  <c r="AJ1242" s="33"/>
      <c r="AK1242" s="33"/>
      <c r="AL1242" s="33"/>
      <c r="AM1242" s="33"/>
      <c r="AN1242" s="33"/>
      <c r="AO1242" s="33"/>
      <c r="AP1242" s="33"/>
      <c r="AQ1242" s="33"/>
      <c r="AR1242" s="33"/>
      <c r="AS1242" s="33"/>
      <c r="AT1242" s="33"/>
      <c r="AU1242" s="33"/>
      <c r="AV1242" s="33"/>
      <c r="AW1242" s="33"/>
      <c r="AX1242" s="33"/>
    </row>
    <row r="1243" spans="1:50" ht="12">
      <c r="A1243" s="34"/>
      <c r="B1243" s="34"/>
      <c r="C1243" s="34"/>
      <c r="D1243" s="34"/>
      <c r="E1243" s="34"/>
      <c r="F1243" s="34"/>
      <c r="G1243" s="34"/>
      <c r="H1243" s="34"/>
      <c r="I1243" s="34"/>
      <c r="J1243" s="34"/>
      <c r="L1243" s="48"/>
      <c r="M1243" s="33"/>
      <c r="N1243" s="33"/>
      <c r="O1243" s="33"/>
      <c r="P1243" s="29"/>
      <c r="Q1243" s="36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  <c r="AJ1243" s="33"/>
      <c r="AK1243" s="33"/>
      <c r="AL1243" s="33"/>
      <c r="AM1243" s="33"/>
      <c r="AN1243" s="33"/>
      <c r="AO1243" s="33"/>
      <c r="AP1243" s="33"/>
      <c r="AQ1243" s="33"/>
      <c r="AR1243" s="33"/>
      <c r="AS1243" s="33"/>
      <c r="AT1243" s="33"/>
      <c r="AU1243" s="33"/>
      <c r="AV1243" s="33"/>
      <c r="AW1243" s="33"/>
      <c r="AX1243" s="33"/>
    </row>
    <row r="1244" spans="1:50" ht="12">
      <c r="A1244" s="34"/>
      <c r="B1244" s="34"/>
      <c r="C1244" s="34"/>
      <c r="D1244" s="34"/>
      <c r="E1244" s="34"/>
      <c r="F1244" s="34"/>
      <c r="G1244" s="34"/>
      <c r="H1244" s="34"/>
      <c r="I1244" s="34"/>
      <c r="J1244" s="34"/>
      <c r="L1244" s="48"/>
      <c r="M1244" s="33"/>
      <c r="N1244" s="33"/>
      <c r="O1244" s="33"/>
      <c r="P1244" s="29"/>
      <c r="Q1244" s="36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  <c r="AJ1244" s="33"/>
      <c r="AK1244" s="33"/>
      <c r="AL1244" s="33"/>
      <c r="AM1244" s="33"/>
      <c r="AN1244" s="33"/>
      <c r="AO1244" s="33"/>
      <c r="AP1244" s="33"/>
      <c r="AQ1244" s="33"/>
      <c r="AR1244" s="33"/>
      <c r="AS1244" s="33"/>
      <c r="AT1244" s="33"/>
      <c r="AU1244" s="33"/>
      <c r="AV1244" s="33"/>
      <c r="AW1244" s="33"/>
      <c r="AX1244" s="33"/>
    </row>
    <row r="1245" spans="1:50" ht="12">
      <c r="A1245" s="34"/>
      <c r="B1245" s="34"/>
      <c r="C1245" s="34"/>
      <c r="D1245" s="34"/>
      <c r="E1245" s="34"/>
      <c r="F1245" s="34"/>
      <c r="G1245" s="34"/>
      <c r="H1245" s="34"/>
      <c r="I1245" s="34"/>
      <c r="J1245" s="34"/>
      <c r="L1245" s="48"/>
      <c r="M1245" s="33"/>
      <c r="N1245" s="33"/>
      <c r="O1245" s="33"/>
      <c r="P1245" s="29"/>
      <c r="Q1245" s="36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  <c r="AJ1245" s="33"/>
      <c r="AK1245" s="33"/>
      <c r="AL1245" s="33"/>
      <c r="AM1245" s="33"/>
      <c r="AN1245" s="33"/>
      <c r="AO1245" s="33"/>
      <c r="AP1245" s="33"/>
      <c r="AQ1245" s="33"/>
      <c r="AR1245" s="33"/>
      <c r="AS1245" s="33"/>
      <c r="AT1245" s="33"/>
      <c r="AU1245" s="33"/>
      <c r="AV1245" s="33"/>
      <c r="AW1245" s="33"/>
      <c r="AX1245" s="33"/>
    </row>
    <row r="1246" spans="1:50" ht="12">
      <c r="A1246" s="34"/>
      <c r="B1246" s="34"/>
      <c r="C1246" s="34"/>
      <c r="D1246" s="34"/>
      <c r="E1246" s="34"/>
      <c r="F1246" s="34"/>
      <c r="G1246" s="34"/>
      <c r="H1246" s="34"/>
      <c r="I1246" s="34"/>
      <c r="J1246" s="34"/>
      <c r="L1246" s="48"/>
      <c r="M1246" s="33"/>
      <c r="N1246" s="33"/>
      <c r="O1246" s="33"/>
      <c r="P1246" s="29"/>
      <c r="Q1246" s="36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  <c r="AJ1246" s="33"/>
      <c r="AK1246" s="33"/>
      <c r="AL1246" s="33"/>
      <c r="AM1246" s="33"/>
      <c r="AN1246" s="33"/>
      <c r="AO1246" s="33"/>
      <c r="AP1246" s="33"/>
      <c r="AQ1246" s="33"/>
      <c r="AR1246" s="33"/>
      <c r="AS1246" s="33"/>
      <c r="AT1246" s="33"/>
      <c r="AU1246" s="33"/>
      <c r="AV1246" s="33"/>
      <c r="AW1246" s="33"/>
      <c r="AX1246" s="33"/>
    </row>
    <row r="1247" spans="1:50" ht="12">
      <c r="A1247" s="34"/>
      <c r="B1247" s="34"/>
      <c r="C1247" s="34"/>
      <c r="D1247" s="34"/>
      <c r="E1247" s="34"/>
      <c r="F1247" s="34"/>
      <c r="G1247" s="34"/>
      <c r="H1247" s="34"/>
      <c r="I1247" s="34"/>
      <c r="J1247" s="34"/>
      <c r="L1247" s="48"/>
      <c r="M1247" s="33"/>
      <c r="N1247" s="33"/>
      <c r="O1247" s="33"/>
      <c r="P1247" s="29"/>
      <c r="Q1247" s="36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  <c r="AJ1247" s="33"/>
      <c r="AK1247" s="33"/>
      <c r="AL1247" s="33"/>
      <c r="AM1247" s="33"/>
      <c r="AN1247" s="33"/>
      <c r="AO1247" s="33"/>
      <c r="AP1247" s="33"/>
      <c r="AQ1247" s="33"/>
      <c r="AR1247" s="33"/>
      <c r="AS1247" s="33"/>
      <c r="AT1247" s="33"/>
      <c r="AU1247" s="33"/>
      <c r="AV1247" s="33"/>
      <c r="AW1247" s="33"/>
      <c r="AX1247" s="33"/>
    </row>
    <row r="1248" spans="1:50" ht="12">
      <c r="A1248" s="34"/>
      <c r="B1248" s="34"/>
      <c r="C1248" s="34"/>
      <c r="D1248" s="34"/>
      <c r="E1248" s="34"/>
      <c r="F1248" s="34"/>
      <c r="G1248" s="34"/>
      <c r="H1248" s="34"/>
      <c r="I1248" s="34"/>
      <c r="J1248" s="34"/>
      <c r="L1248" s="48"/>
      <c r="M1248" s="33"/>
      <c r="N1248" s="33"/>
      <c r="O1248" s="33"/>
      <c r="P1248" s="29"/>
      <c r="Q1248" s="36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  <c r="AJ1248" s="33"/>
      <c r="AK1248" s="33"/>
      <c r="AL1248" s="33"/>
      <c r="AM1248" s="33"/>
      <c r="AN1248" s="33"/>
      <c r="AO1248" s="33"/>
      <c r="AP1248" s="33"/>
      <c r="AQ1248" s="33"/>
      <c r="AR1248" s="33"/>
      <c r="AS1248" s="33"/>
      <c r="AT1248" s="33"/>
      <c r="AU1248" s="33"/>
      <c r="AV1248" s="33"/>
      <c r="AW1248" s="33"/>
      <c r="AX1248" s="33"/>
    </row>
    <row r="1249" spans="1:50" ht="12">
      <c r="A1249" s="34"/>
      <c r="B1249" s="34"/>
      <c r="C1249" s="34"/>
      <c r="D1249" s="34"/>
      <c r="E1249" s="34"/>
      <c r="F1249" s="34"/>
      <c r="G1249" s="34"/>
      <c r="H1249" s="34"/>
      <c r="I1249" s="34"/>
      <c r="J1249" s="34"/>
      <c r="L1249" s="48"/>
      <c r="M1249" s="33"/>
      <c r="N1249" s="33"/>
      <c r="O1249" s="33"/>
      <c r="P1249" s="29"/>
      <c r="Q1249" s="36"/>
      <c r="R1249" s="33"/>
      <c r="S1249" s="33"/>
      <c r="T1249" s="33"/>
      <c r="U1249" s="33"/>
      <c r="V1249" s="33"/>
      <c r="W1249" s="33"/>
      <c r="X1249" s="33"/>
      <c r="Y1249" s="33"/>
      <c r="Z1249" s="33"/>
      <c r="AA1249" s="33"/>
      <c r="AB1249" s="33"/>
      <c r="AC1249" s="33"/>
      <c r="AD1249" s="33"/>
      <c r="AE1249" s="33"/>
      <c r="AF1249" s="33"/>
      <c r="AG1249" s="33"/>
      <c r="AH1249" s="33"/>
      <c r="AI1249" s="33"/>
      <c r="AJ1249" s="33"/>
      <c r="AK1249" s="33"/>
      <c r="AL1249" s="33"/>
      <c r="AM1249" s="33"/>
      <c r="AN1249" s="33"/>
      <c r="AO1249" s="33"/>
      <c r="AP1249" s="33"/>
      <c r="AQ1249" s="33"/>
      <c r="AR1249" s="33"/>
      <c r="AS1249" s="33"/>
      <c r="AT1249" s="33"/>
      <c r="AU1249" s="33"/>
      <c r="AV1249" s="33"/>
      <c r="AW1249" s="33"/>
      <c r="AX1249" s="33"/>
    </row>
    <row r="1250" spans="1:50" ht="12">
      <c r="A1250" s="34"/>
      <c r="B1250" s="34"/>
      <c r="C1250" s="34"/>
      <c r="D1250" s="34"/>
      <c r="E1250" s="34"/>
      <c r="F1250" s="34"/>
      <c r="G1250" s="34"/>
      <c r="H1250" s="34"/>
      <c r="I1250" s="34"/>
      <c r="J1250" s="34"/>
      <c r="L1250" s="48"/>
      <c r="M1250" s="33"/>
      <c r="N1250" s="33"/>
      <c r="O1250" s="33"/>
      <c r="P1250" s="29"/>
      <c r="Q1250" s="36"/>
      <c r="R1250" s="33"/>
      <c r="S1250" s="33"/>
      <c r="T1250" s="33"/>
      <c r="U1250" s="33"/>
      <c r="V1250" s="33"/>
      <c r="W1250" s="33"/>
      <c r="X1250" s="33"/>
      <c r="Y1250" s="33"/>
      <c r="Z1250" s="33"/>
      <c r="AA1250" s="33"/>
      <c r="AB1250" s="33"/>
      <c r="AC1250" s="33"/>
      <c r="AD1250" s="33"/>
      <c r="AE1250" s="33"/>
      <c r="AF1250" s="33"/>
      <c r="AG1250" s="33"/>
      <c r="AH1250" s="33"/>
      <c r="AI1250" s="33"/>
      <c r="AJ1250" s="33"/>
      <c r="AK1250" s="33"/>
      <c r="AL1250" s="33"/>
      <c r="AM1250" s="33"/>
      <c r="AN1250" s="33"/>
      <c r="AO1250" s="33"/>
      <c r="AP1250" s="33"/>
      <c r="AQ1250" s="33"/>
      <c r="AR1250" s="33"/>
      <c r="AS1250" s="33"/>
      <c r="AT1250" s="33"/>
      <c r="AU1250" s="33"/>
      <c r="AV1250" s="33"/>
      <c r="AW1250" s="33"/>
      <c r="AX1250" s="33"/>
    </row>
    <row r="1251" spans="1:50" ht="12">
      <c r="A1251" s="34"/>
      <c r="B1251" s="34"/>
      <c r="C1251" s="34"/>
      <c r="D1251" s="34"/>
      <c r="E1251" s="34"/>
      <c r="F1251" s="34"/>
      <c r="G1251" s="34"/>
      <c r="H1251" s="34"/>
      <c r="I1251" s="34"/>
      <c r="J1251" s="34"/>
      <c r="L1251" s="48"/>
      <c r="M1251" s="33"/>
      <c r="N1251" s="33"/>
      <c r="O1251" s="33"/>
      <c r="P1251" s="29"/>
      <c r="Q1251" s="36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  <c r="AJ1251" s="33"/>
      <c r="AK1251" s="33"/>
      <c r="AL1251" s="33"/>
      <c r="AM1251" s="33"/>
      <c r="AN1251" s="33"/>
      <c r="AO1251" s="33"/>
      <c r="AP1251" s="33"/>
      <c r="AQ1251" s="33"/>
      <c r="AR1251" s="33"/>
      <c r="AS1251" s="33"/>
      <c r="AT1251" s="33"/>
      <c r="AU1251" s="33"/>
      <c r="AV1251" s="33"/>
      <c r="AW1251" s="33"/>
      <c r="AX1251" s="33"/>
    </row>
    <row r="1252" spans="1:50" ht="12">
      <c r="A1252" s="34"/>
      <c r="B1252" s="34"/>
      <c r="C1252" s="34"/>
      <c r="D1252" s="34"/>
      <c r="E1252" s="34"/>
      <c r="F1252" s="34"/>
      <c r="G1252" s="34"/>
      <c r="H1252" s="34"/>
      <c r="I1252" s="34"/>
      <c r="J1252" s="34"/>
      <c r="L1252" s="48"/>
      <c r="M1252" s="33"/>
      <c r="N1252" s="33"/>
      <c r="O1252" s="33"/>
      <c r="P1252" s="29"/>
      <c r="Q1252" s="36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  <c r="AJ1252" s="33"/>
      <c r="AK1252" s="33"/>
      <c r="AL1252" s="33"/>
      <c r="AM1252" s="33"/>
      <c r="AN1252" s="33"/>
      <c r="AO1252" s="33"/>
      <c r="AP1252" s="33"/>
      <c r="AQ1252" s="33"/>
      <c r="AR1252" s="33"/>
      <c r="AS1252" s="33"/>
      <c r="AT1252" s="33"/>
      <c r="AU1252" s="33"/>
      <c r="AV1252" s="33"/>
      <c r="AW1252" s="33"/>
      <c r="AX1252" s="33"/>
    </row>
    <row r="1253" spans="1:50" ht="12">
      <c r="A1253" s="34"/>
      <c r="B1253" s="34"/>
      <c r="C1253" s="34"/>
      <c r="D1253" s="34"/>
      <c r="E1253" s="34"/>
      <c r="F1253" s="34"/>
      <c r="G1253" s="34"/>
      <c r="H1253" s="34"/>
      <c r="I1253" s="34"/>
      <c r="J1253" s="34"/>
      <c r="L1253" s="48"/>
      <c r="M1253" s="33"/>
      <c r="N1253" s="33"/>
      <c r="O1253" s="33"/>
      <c r="P1253" s="29"/>
      <c r="Q1253" s="36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  <c r="AJ1253" s="33"/>
      <c r="AK1253" s="33"/>
      <c r="AL1253" s="33"/>
      <c r="AM1253" s="33"/>
      <c r="AN1253" s="33"/>
      <c r="AO1253" s="33"/>
      <c r="AP1253" s="33"/>
      <c r="AQ1253" s="33"/>
      <c r="AR1253" s="33"/>
      <c r="AS1253" s="33"/>
      <c r="AT1253" s="33"/>
      <c r="AU1253" s="33"/>
      <c r="AV1253" s="33"/>
      <c r="AW1253" s="33"/>
      <c r="AX1253" s="33"/>
    </row>
    <row r="1254" spans="1:50" ht="12">
      <c r="A1254" s="34"/>
      <c r="B1254" s="34"/>
      <c r="C1254" s="34"/>
      <c r="D1254" s="34"/>
      <c r="E1254" s="34"/>
      <c r="F1254" s="34"/>
      <c r="G1254" s="34"/>
      <c r="H1254" s="34"/>
      <c r="I1254" s="34"/>
      <c r="J1254" s="34"/>
      <c r="L1254" s="48"/>
      <c r="M1254" s="33"/>
      <c r="N1254" s="33"/>
      <c r="O1254" s="33"/>
      <c r="P1254" s="29"/>
      <c r="Q1254" s="36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  <c r="AJ1254" s="33"/>
      <c r="AK1254" s="33"/>
      <c r="AL1254" s="33"/>
      <c r="AM1254" s="33"/>
      <c r="AN1254" s="33"/>
      <c r="AO1254" s="33"/>
      <c r="AP1254" s="33"/>
      <c r="AQ1254" s="33"/>
      <c r="AR1254" s="33"/>
      <c r="AS1254" s="33"/>
      <c r="AT1254" s="33"/>
      <c r="AU1254" s="33"/>
      <c r="AV1254" s="33"/>
      <c r="AW1254" s="33"/>
      <c r="AX1254" s="33"/>
    </row>
    <row r="1255" spans="1:50" ht="12">
      <c r="A1255" s="34"/>
      <c r="B1255" s="34"/>
      <c r="C1255" s="34"/>
      <c r="D1255" s="34"/>
      <c r="E1255" s="34"/>
      <c r="F1255" s="34"/>
      <c r="G1255" s="34"/>
      <c r="H1255" s="34"/>
      <c r="I1255" s="34"/>
      <c r="J1255" s="34"/>
      <c r="L1255" s="48"/>
      <c r="M1255" s="33"/>
      <c r="N1255" s="33"/>
      <c r="O1255" s="33"/>
      <c r="P1255" s="29"/>
      <c r="Q1255" s="36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  <c r="AJ1255" s="33"/>
      <c r="AK1255" s="33"/>
      <c r="AL1255" s="33"/>
      <c r="AM1255" s="33"/>
      <c r="AN1255" s="33"/>
      <c r="AO1255" s="33"/>
      <c r="AP1255" s="33"/>
      <c r="AQ1255" s="33"/>
      <c r="AR1255" s="33"/>
      <c r="AS1255" s="33"/>
      <c r="AT1255" s="33"/>
      <c r="AU1255" s="33"/>
      <c r="AV1255" s="33"/>
      <c r="AW1255" s="33"/>
      <c r="AX1255" s="33"/>
    </row>
    <row r="1256" spans="1:50" ht="12">
      <c r="A1256" s="34"/>
      <c r="B1256" s="34"/>
      <c r="C1256" s="34"/>
      <c r="D1256" s="34"/>
      <c r="E1256" s="34"/>
      <c r="F1256" s="34"/>
      <c r="G1256" s="34"/>
      <c r="H1256" s="34"/>
      <c r="I1256" s="34"/>
      <c r="J1256" s="34"/>
      <c r="L1256" s="48"/>
      <c r="M1256" s="33"/>
      <c r="N1256" s="33"/>
      <c r="O1256" s="33"/>
      <c r="P1256" s="29"/>
      <c r="Q1256" s="36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  <c r="AJ1256" s="33"/>
      <c r="AK1256" s="33"/>
      <c r="AL1256" s="33"/>
      <c r="AM1256" s="33"/>
      <c r="AN1256" s="33"/>
      <c r="AO1256" s="33"/>
      <c r="AP1256" s="33"/>
      <c r="AQ1256" s="33"/>
      <c r="AR1256" s="33"/>
      <c r="AS1256" s="33"/>
      <c r="AT1256" s="33"/>
      <c r="AU1256" s="33"/>
      <c r="AV1256" s="33"/>
      <c r="AW1256" s="33"/>
      <c r="AX1256" s="33"/>
    </row>
    <row r="1257" spans="1:50" ht="12">
      <c r="A1257" s="34"/>
      <c r="B1257" s="34"/>
      <c r="C1257" s="34"/>
      <c r="D1257" s="34"/>
      <c r="E1257" s="34"/>
      <c r="F1257" s="34"/>
      <c r="G1257" s="34"/>
      <c r="H1257" s="34"/>
      <c r="I1257" s="34"/>
      <c r="J1257" s="34"/>
      <c r="L1257" s="48"/>
      <c r="M1257" s="33"/>
      <c r="N1257" s="33"/>
      <c r="O1257" s="33"/>
      <c r="P1257" s="29"/>
      <c r="Q1257" s="36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  <c r="AJ1257" s="33"/>
      <c r="AK1257" s="33"/>
      <c r="AL1257" s="33"/>
      <c r="AM1257" s="33"/>
      <c r="AN1257" s="33"/>
      <c r="AO1257" s="33"/>
      <c r="AP1257" s="33"/>
      <c r="AQ1257" s="33"/>
      <c r="AR1257" s="33"/>
      <c r="AS1257" s="33"/>
      <c r="AT1257" s="33"/>
      <c r="AU1257" s="33"/>
      <c r="AV1257" s="33"/>
      <c r="AW1257" s="33"/>
      <c r="AX1257" s="33"/>
    </row>
    <row r="1258" spans="1:50" ht="12">
      <c r="A1258" s="34"/>
      <c r="B1258" s="34"/>
      <c r="C1258" s="34"/>
      <c r="D1258" s="34"/>
      <c r="E1258" s="34"/>
      <c r="F1258" s="34"/>
      <c r="G1258" s="34"/>
      <c r="H1258" s="34"/>
      <c r="I1258" s="34"/>
      <c r="J1258" s="34"/>
      <c r="L1258" s="48"/>
      <c r="M1258" s="33"/>
      <c r="N1258" s="33"/>
      <c r="O1258" s="33"/>
      <c r="P1258" s="29"/>
      <c r="Q1258" s="36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  <c r="AJ1258" s="33"/>
      <c r="AK1258" s="33"/>
      <c r="AL1258" s="33"/>
      <c r="AM1258" s="33"/>
      <c r="AN1258" s="33"/>
      <c r="AO1258" s="33"/>
      <c r="AP1258" s="33"/>
      <c r="AQ1258" s="33"/>
      <c r="AR1258" s="33"/>
      <c r="AS1258" s="33"/>
      <c r="AT1258" s="33"/>
      <c r="AU1258" s="33"/>
      <c r="AV1258" s="33"/>
      <c r="AW1258" s="33"/>
      <c r="AX1258" s="33"/>
    </row>
    <row r="1259" spans="1:50" ht="12">
      <c r="A1259" s="34"/>
      <c r="B1259" s="34"/>
      <c r="C1259" s="34"/>
      <c r="D1259" s="34"/>
      <c r="E1259" s="34"/>
      <c r="F1259" s="34"/>
      <c r="G1259" s="34"/>
      <c r="H1259" s="34"/>
      <c r="I1259" s="34"/>
      <c r="J1259" s="34"/>
      <c r="L1259" s="48"/>
      <c r="M1259" s="33"/>
      <c r="N1259" s="33"/>
      <c r="O1259" s="33"/>
      <c r="P1259" s="29"/>
      <c r="Q1259" s="36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  <c r="AJ1259" s="33"/>
      <c r="AK1259" s="33"/>
      <c r="AL1259" s="33"/>
      <c r="AM1259" s="33"/>
      <c r="AN1259" s="33"/>
      <c r="AO1259" s="33"/>
      <c r="AP1259" s="33"/>
      <c r="AQ1259" s="33"/>
      <c r="AR1259" s="33"/>
      <c r="AS1259" s="33"/>
      <c r="AT1259" s="33"/>
      <c r="AU1259" s="33"/>
      <c r="AV1259" s="33"/>
      <c r="AW1259" s="33"/>
      <c r="AX1259" s="33"/>
    </row>
    <row r="1260" spans="1:50" ht="12">
      <c r="A1260" s="34"/>
      <c r="B1260" s="34"/>
      <c r="C1260" s="34"/>
      <c r="D1260" s="34"/>
      <c r="E1260" s="34"/>
      <c r="F1260" s="34"/>
      <c r="G1260" s="34"/>
      <c r="H1260" s="34"/>
      <c r="I1260" s="34"/>
      <c r="J1260" s="34"/>
      <c r="L1260" s="48"/>
      <c r="M1260" s="33"/>
      <c r="N1260" s="33"/>
      <c r="O1260" s="33"/>
      <c r="P1260" s="29"/>
      <c r="Q1260" s="36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  <c r="AJ1260" s="33"/>
      <c r="AK1260" s="33"/>
      <c r="AL1260" s="33"/>
      <c r="AM1260" s="33"/>
      <c r="AN1260" s="33"/>
      <c r="AO1260" s="33"/>
      <c r="AP1260" s="33"/>
      <c r="AQ1260" s="33"/>
      <c r="AR1260" s="33"/>
      <c r="AS1260" s="33"/>
      <c r="AT1260" s="33"/>
      <c r="AU1260" s="33"/>
      <c r="AV1260" s="33"/>
      <c r="AW1260" s="33"/>
      <c r="AX1260" s="33"/>
    </row>
    <row r="1261" spans="1:50" ht="12">
      <c r="A1261" s="34"/>
      <c r="B1261" s="34"/>
      <c r="C1261" s="34"/>
      <c r="D1261" s="34"/>
      <c r="E1261" s="34"/>
      <c r="F1261" s="34"/>
      <c r="G1261" s="34"/>
      <c r="H1261" s="34"/>
      <c r="I1261" s="34"/>
      <c r="J1261" s="34"/>
      <c r="L1261" s="48"/>
      <c r="M1261" s="33"/>
      <c r="N1261" s="33"/>
      <c r="O1261" s="33"/>
      <c r="P1261" s="29"/>
      <c r="Q1261" s="36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  <c r="AJ1261" s="33"/>
      <c r="AK1261" s="33"/>
      <c r="AL1261" s="33"/>
      <c r="AM1261" s="33"/>
      <c r="AN1261" s="33"/>
      <c r="AO1261" s="33"/>
      <c r="AP1261" s="33"/>
      <c r="AQ1261" s="33"/>
      <c r="AR1261" s="33"/>
      <c r="AS1261" s="33"/>
      <c r="AT1261" s="33"/>
      <c r="AU1261" s="33"/>
      <c r="AV1261" s="33"/>
      <c r="AW1261" s="33"/>
      <c r="AX1261" s="33"/>
    </row>
    <row r="1262" spans="1:50" ht="12">
      <c r="A1262" s="34"/>
      <c r="B1262" s="34"/>
      <c r="C1262" s="34"/>
      <c r="D1262" s="34"/>
      <c r="E1262" s="34"/>
      <c r="F1262" s="34"/>
      <c r="G1262" s="34"/>
      <c r="H1262" s="34"/>
      <c r="I1262" s="34"/>
      <c r="J1262" s="34"/>
      <c r="L1262" s="48"/>
      <c r="M1262" s="33"/>
      <c r="N1262" s="33"/>
      <c r="O1262" s="33"/>
      <c r="P1262" s="29"/>
      <c r="Q1262" s="36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  <c r="AJ1262" s="33"/>
      <c r="AK1262" s="33"/>
      <c r="AL1262" s="33"/>
      <c r="AM1262" s="33"/>
      <c r="AN1262" s="33"/>
      <c r="AO1262" s="33"/>
      <c r="AP1262" s="33"/>
      <c r="AQ1262" s="33"/>
      <c r="AR1262" s="33"/>
      <c r="AS1262" s="33"/>
      <c r="AT1262" s="33"/>
      <c r="AU1262" s="33"/>
      <c r="AV1262" s="33"/>
      <c r="AW1262" s="33"/>
      <c r="AX1262" s="33"/>
    </row>
    <row r="1263" spans="1:50" ht="12">
      <c r="A1263" s="34"/>
      <c r="B1263" s="34"/>
      <c r="C1263" s="34"/>
      <c r="D1263" s="34"/>
      <c r="E1263" s="34"/>
      <c r="F1263" s="34"/>
      <c r="G1263" s="34"/>
      <c r="H1263" s="34"/>
      <c r="I1263" s="34"/>
      <c r="J1263" s="34"/>
      <c r="L1263" s="48"/>
      <c r="M1263" s="33"/>
      <c r="N1263" s="33"/>
      <c r="O1263" s="33"/>
      <c r="P1263" s="29"/>
      <c r="Q1263" s="36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  <c r="AJ1263" s="33"/>
      <c r="AK1263" s="33"/>
      <c r="AL1263" s="33"/>
      <c r="AM1263" s="33"/>
      <c r="AN1263" s="33"/>
      <c r="AO1263" s="33"/>
      <c r="AP1263" s="33"/>
      <c r="AQ1263" s="33"/>
      <c r="AR1263" s="33"/>
      <c r="AS1263" s="33"/>
      <c r="AT1263" s="33"/>
      <c r="AU1263" s="33"/>
      <c r="AV1263" s="33"/>
      <c r="AW1263" s="33"/>
      <c r="AX1263" s="33"/>
    </row>
    <row r="1264" spans="1:50" ht="12">
      <c r="A1264" s="34"/>
      <c r="B1264" s="34"/>
      <c r="C1264" s="34"/>
      <c r="D1264" s="34"/>
      <c r="E1264" s="34"/>
      <c r="F1264" s="34"/>
      <c r="G1264" s="34"/>
      <c r="H1264" s="34"/>
      <c r="I1264" s="34"/>
      <c r="J1264" s="34"/>
      <c r="L1264" s="48"/>
      <c r="M1264" s="33"/>
      <c r="N1264" s="33"/>
      <c r="O1264" s="33"/>
      <c r="P1264" s="29"/>
      <c r="Q1264" s="36"/>
      <c r="R1264" s="33"/>
      <c r="S1264" s="33"/>
      <c r="T1264" s="33"/>
      <c r="U1264" s="33"/>
      <c r="V1264" s="33"/>
      <c r="W1264" s="33"/>
      <c r="X1264" s="33"/>
      <c r="Y1264" s="33"/>
      <c r="Z1264" s="33"/>
      <c r="AA1264" s="33"/>
      <c r="AB1264" s="33"/>
      <c r="AC1264" s="33"/>
      <c r="AD1264" s="33"/>
      <c r="AE1264" s="33"/>
      <c r="AF1264" s="33"/>
      <c r="AG1264" s="33"/>
      <c r="AH1264" s="33"/>
      <c r="AI1264" s="33"/>
      <c r="AJ1264" s="33"/>
      <c r="AK1264" s="33"/>
      <c r="AL1264" s="33"/>
      <c r="AM1264" s="33"/>
      <c r="AN1264" s="33"/>
      <c r="AO1264" s="33"/>
      <c r="AP1264" s="33"/>
      <c r="AQ1264" s="33"/>
      <c r="AR1264" s="33"/>
      <c r="AS1264" s="33"/>
      <c r="AT1264" s="33"/>
      <c r="AU1264" s="33"/>
      <c r="AV1264" s="33"/>
      <c r="AW1264" s="33"/>
      <c r="AX1264" s="33"/>
    </row>
    <row r="1265" spans="1:50" ht="12">
      <c r="A1265" s="34"/>
      <c r="B1265" s="34"/>
      <c r="C1265" s="34"/>
      <c r="D1265" s="34"/>
      <c r="E1265" s="34"/>
      <c r="F1265" s="34"/>
      <c r="G1265" s="34"/>
      <c r="H1265" s="34"/>
      <c r="I1265" s="34"/>
      <c r="J1265" s="34"/>
      <c r="L1265" s="48"/>
      <c r="M1265" s="33"/>
      <c r="N1265" s="33"/>
      <c r="O1265" s="33"/>
      <c r="P1265" s="29"/>
      <c r="Q1265" s="36"/>
      <c r="R1265" s="33"/>
      <c r="S1265" s="33"/>
      <c r="T1265" s="33"/>
      <c r="U1265" s="33"/>
      <c r="V1265" s="33"/>
      <c r="W1265" s="33"/>
      <c r="X1265" s="33"/>
      <c r="Y1265" s="33"/>
      <c r="Z1265" s="33"/>
      <c r="AA1265" s="33"/>
      <c r="AB1265" s="33"/>
      <c r="AC1265" s="33"/>
      <c r="AD1265" s="33"/>
      <c r="AE1265" s="33"/>
      <c r="AF1265" s="33"/>
      <c r="AG1265" s="33"/>
      <c r="AH1265" s="33"/>
      <c r="AI1265" s="33"/>
      <c r="AJ1265" s="33"/>
      <c r="AK1265" s="33"/>
      <c r="AL1265" s="33"/>
      <c r="AM1265" s="33"/>
      <c r="AN1265" s="33"/>
      <c r="AO1265" s="33"/>
      <c r="AP1265" s="33"/>
      <c r="AQ1265" s="33"/>
      <c r="AR1265" s="33"/>
      <c r="AS1265" s="33"/>
      <c r="AT1265" s="33"/>
      <c r="AU1265" s="33"/>
      <c r="AV1265" s="33"/>
      <c r="AW1265" s="33"/>
      <c r="AX1265" s="33"/>
    </row>
    <row r="1266" spans="1:50" ht="12">
      <c r="A1266" s="34"/>
      <c r="B1266" s="34"/>
      <c r="C1266" s="34"/>
      <c r="D1266" s="34"/>
      <c r="E1266" s="34"/>
      <c r="F1266" s="34"/>
      <c r="G1266" s="34"/>
      <c r="H1266" s="34"/>
      <c r="I1266" s="34"/>
      <c r="J1266" s="34"/>
      <c r="L1266" s="48"/>
      <c r="M1266" s="33"/>
      <c r="N1266" s="33"/>
      <c r="O1266" s="33"/>
      <c r="P1266" s="29"/>
      <c r="Q1266" s="36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  <c r="AJ1266" s="33"/>
      <c r="AK1266" s="33"/>
      <c r="AL1266" s="33"/>
      <c r="AM1266" s="33"/>
      <c r="AN1266" s="33"/>
      <c r="AO1266" s="33"/>
      <c r="AP1266" s="33"/>
      <c r="AQ1266" s="33"/>
      <c r="AR1266" s="33"/>
      <c r="AS1266" s="33"/>
      <c r="AT1266" s="33"/>
      <c r="AU1266" s="33"/>
      <c r="AV1266" s="33"/>
      <c r="AW1266" s="33"/>
      <c r="AX1266" s="33"/>
    </row>
    <row r="1267" spans="1:50" ht="12">
      <c r="A1267" s="34"/>
      <c r="B1267" s="34"/>
      <c r="C1267" s="34"/>
      <c r="D1267" s="34"/>
      <c r="E1267" s="34"/>
      <c r="F1267" s="34"/>
      <c r="G1267" s="34"/>
      <c r="H1267" s="34"/>
      <c r="I1267" s="34"/>
      <c r="J1267" s="34"/>
      <c r="L1267" s="48"/>
      <c r="M1267" s="33"/>
      <c r="N1267" s="33"/>
      <c r="O1267" s="33"/>
      <c r="P1267" s="29"/>
      <c r="Q1267" s="36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  <c r="AJ1267" s="33"/>
      <c r="AK1267" s="33"/>
      <c r="AL1267" s="33"/>
      <c r="AM1267" s="33"/>
      <c r="AN1267" s="33"/>
      <c r="AO1267" s="33"/>
      <c r="AP1267" s="33"/>
      <c r="AQ1267" s="33"/>
      <c r="AR1267" s="33"/>
      <c r="AS1267" s="33"/>
      <c r="AT1267" s="33"/>
      <c r="AU1267" s="33"/>
      <c r="AV1267" s="33"/>
      <c r="AW1267" s="33"/>
      <c r="AX1267" s="33"/>
    </row>
    <row r="1268" spans="1:50" ht="12">
      <c r="A1268" s="34"/>
      <c r="B1268" s="34"/>
      <c r="C1268" s="34"/>
      <c r="D1268" s="34"/>
      <c r="E1268" s="34"/>
      <c r="F1268" s="34"/>
      <c r="G1268" s="34"/>
      <c r="H1268" s="34"/>
      <c r="I1268" s="34"/>
      <c r="J1268" s="34"/>
      <c r="L1268" s="48"/>
      <c r="M1268" s="33"/>
      <c r="N1268" s="33"/>
      <c r="O1268" s="33"/>
      <c r="P1268" s="29"/>
      <c r="Q1268" s="36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  <c r="AJ1268" s="33"/>
      <c r="AK1268" s="33"/>
      <c r="AL1268" s="33"/>
      <c r="AM1268" s="33"/>
      <c r="AN1268" s="33"/>
      <c r="AO1268" s="33"/>
      <c r="AP1268" s="33"/>
      <c r="AQ1268" s="33"/>
      <c r="AR1268" s="33"/>
      <c r="AS1268" s="33"/>
      <c r="AT1268" s="33"/>
      <c r="AU1268" s="33"/>
      <c r="AV1268" s="33"/>
      <c r="AW1268" s="33"/>
      <c r="AX1268" s="33"/>
    </row>
    <row r="1269" spans="1:50" ht="12">
      <c r="A1269" s="34"/>
      <c r="B1269" s="34"/>
      <c r="C1269" s="34"/>
      <c r="D1269" s="34"/>
      <c r="E1269" s="34"/>
      <c r="F1269" s="34"/>
      <c r="G1269" s="34"/>
      <c r="H1269" s="34"/>
      <c r="I1269" s="34"/>
      <c r="J1269" s="34"/>
      <c r="L1269" s="48"/>
      <c r="M1269" s="33"/>
      <c r="N1269" s="33"/>
      <c r="O1269" s="33"/>
      <c r="P1269" s="29"/>
      <c r="Q1269" s="36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  <c r="AJ1269" s="33"/>
      <c r="AK1269" s="33"/>
      <c r="AL1269" s="33"/>
      <c r="AM1269" s="33"/>
      <c r="AN1269" s="33"/>
      <c r="AO1269" s="33"/>
      <c r="AP1269" s="33"/>
      <c r="AQ1269" s="33"/>
      <c r="AR1269" s="33"/>
      <c r="AS1269" s="33"/>
      <c r="AT1269" s="33"/>
      <c r="AU1269" s="33"/>
      <c r="AV1269" s="33"/>
      <c r="AW1269" s="33"/>
      <c r="AX1269" s="33"/>
    </row>
    <row r="1270" spans="1:50" ht="12">
      <c r="A1270" s="34"/>
      <c r="B1270" s="34"/>
      <c r="C1270" s="34"/>
      <c r="D1270" s="34"/>
      <c r="E1270" s="34"/>
      <c r="F1270" s="34"/>
      <c r="G1270" s="34"/>
      <c r="H1270" s="34"/>
      <c r="I1270" s="34"/>
      <c r="J1270" s="34"/>
      <c r="L1270" s="48"/>
      <c r="M1270" s="33"/>
      <c r="N1270" s="33"/>
      <c r="O1270" s="33"/>
      <c r="P1270" s="29"/>
      <c r="Q1270" s="36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  <c r="AJ1270" s="33"/>
      <c r="AK1270" s="33"/>
      <c r="AL1270" s="33"/>
      <c r="AM1270" s="33"/>
      <c r="AN1270" s="33"/>
      <c r="AO1270" s="33"/>
      <c r="AP1270" s="33"/>
      <c r="AQ1270" s="33"/>
      <c r="AR1270" s="33"/>
      <c r="AS1270" s="33"/>
      <c r="AT1270" s="33"/>
      <c r="AU1270" s="33"/>
      <c r="AV1270" s="33"/>
      <c r="AW1270" s="33"/>
      <c r="AX1270" s="33"/>
    </row>
    <row r="1271" spans="1:50" ht="12">
      <c r="A1271" s="34"/>
      <c r="B1271" s="34"/>
      <c r="C1271" s="34"/>
      <c r="D1271" s="34"/>
      <c r="E1271" s="34"/>
      <c r="F1271" s="34"/>
      <c r="G1271" s="34"/>
      <c r="H1271" s="34"/>
      <c r="I1271" s="34"/>
      <c r="J1271" s="34"/>
      <c r="L1271" s="48"/>
      <c r="M1271" s="33"/>
      <c r="N1271" s="33"/>
      <c r="O1271" s="33"/>
      <c r="P1271" s="29"/>
      <c r="Q1271" s="36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  <c r="AJ1271" s="33"/>
      <c r="AK1271" s="33"/>
      <c r="AL1271" s="33"/>
      <c r="AM1271" s="33"/>
      <c r="AN1271" s="33"/>
      <c r="AO1271" s="33"/>
      <c r="AP1271" s="33"/>
      <c r="AQ1271" s="33"/>
      <c r="AR1271" s="33"/>
      <c r="AS1271" s="33"/>
      <c r="AT1271" s="33"/>
      <c r="AU1271" s="33"/>
      <c r="AV1271" s="33"/>
      <c r="AW1271" s="33"/>
      <c r="AX1271" s="33"/>
    </row>
    <row r="1272" spans="1:50" ht="12">
      <c r="A1272" s="34"/>
      <c r="B1272" s="34"/>
      <c r="C1272" s="34"/>
      <c r="D1272" s="34"/>
      <c r="E1272" s="34"/>
      <c r="F1272" s="34"/>
      <c r="G1272" s="34"/>
      <c r="H1272" s="34"/>
      <c r="I1272" s="34"/>
      <c r="J1272" s="34"/>
      <c r="L1272" s="48"/>
      <c r="M1272" s="33"/>
      <c r="N1272" s="33"/>
      <c r="O1272" s="33"/>
      <c r="P1272" s="29"/>
      <c r="Q1272" s="36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  <c r="AJ1272" s="33"/>
      <c r="AK1272" s="33"/>
      <c r="AL1272" s="33"/>
      <c r="AM1272" s="33"/>
      <c r="AN1272" s="33"/>
      <c r="AO1272" s="33"/>
      <c r="AP1272" s="33"/>
      <c r="AQ1272" s="33"/>
      <c r="AR1272" s="33"/>
      <c r="AS1272" s="33"/>
      <c r="AT1272" s="33"/>
      <c r="AU1272" s="33"/>
      <c r="AV1272" s="33"/>
      <c r="AW1272" s="33"/>
      <c r="AX1272" s="33"/>
    </row>
    <row r="1273" spans="1:50" ht="12">
      <c r="A1273" s="34"/>
      <c r="B1273" s="34"/>
      <c r="C1273" s="34"/>
      <c r="D1273" s="34"/>
      <c r="E1273" s="34"/>
      <c r="F1273" s="34"/>
      <c r="G1273" s="34"/>
      <c r="H1273" s="34"/>
      <c r="I1273" s="34"/>
      <c r="J1273" s="34"/>
      <c r="L1273" s="48"/>
      <c r="M1273" s="33"/>
      <c r="N1273" s="33"/>
      <c r="O1273" s="33"/>
      <c r="P1273" s="29"/>
      <c r="Q1273" s="36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  <c r="AJ1273" s="33"/>
      <c r="AK1273" s="33"/>
      <c r="AL1273" s="33"/>
      <c r="AM1273" s="33"/>
      <c r="AN1273" s="33"/>
      <c r="AO1273" s="33"/>
      <c r="AP1273" s="33"/>
      <c r="AQ1273" s="33"/>
      <c r="AR1273" s="33"/>
      <c r="AS1273" s="33"/>
      <c r="AT1273" s="33"/>
      <c r="AU1273" s="33"/>
      <c r="AV1273" s="33"/>
      <c r="AW1273" s="33"/>
      <c r="AX1273" s="33"/>
    </row>
    <row r="1274" spans="1:50" ht="12">
      <c r="A1274" s="34"/>
      <c r="B1274" s="34"/>
      <c r="C1274" s="34"/>
      <c r="D1274" s="34"/>
      <c r="E1274" s="34"/>
      <c r="F1274" s="34"/>
      <c r="G1274" s="34"/>
      <c r="H1274" s="34"/>
      <c r="I1274" s="34"/>
      <c r="J1274" s="34"/>
      <c r="L1274" s="48"/>
      <c r="M1274" s="33"/>
      <c r="N1274" s="33"/>
      <c r="O1274" s="33"/>
      <c r="P1274" s="29"/>
      <c r="Q1274" s="36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  <c r="AJ1274" s="33"/>
      <c r="AK1274" s="33"/>
      <c r="AL1274" s="33"/>
      <c r="AM1274" s="33"/>
      <c r="AN1274" s="33"/>
      <c r="AO1274" s="33"/>
      <c r="AP1274" s="33"/>
      <c r="AQ1274" s="33"/>
      <c r="AR1274" s="33"/>
      <c r="AS1274" s="33"/>
      <c r="AT1274" s="33"/>
      <c r="AU1274" s="33"/>
      <c r="AV1274" s="33"/>
      <c r="AW1274" s="33"/>
      <c r="AX1274" s="33"/>
    </row>
    <row r="1275" spans="1:50" ht="12">
      <c r="A1275" s="34"/>
      <c r="B1275" s="34"/>
      <c r="C1275" s="34"/>
      <c r="D1275" s="34"/>
      <c r="E1275" s="34"/>
      <c r="F1275" s="34"/>
      <c r="G1275" s="34"/>
      <c r="H1275" s="34"/>
      <c r="I1275" s="34"/>
      <c r="J1275" s="34"/>
      <c r="L1275" s="48"/>
      <c r="M1275" s="33"/>
      <c r="N1275" s="33"/>
      <c r="O1275" s="33"/>
      <c r="P1275" s="29"/>
      <c r="Q1275" s="36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  <c r="AJ1275" s="33"/>
      <c r="AK1275" s="33"/>
      <c r="AL1275" s="33"/>
      <c r="AM1275" s="33"/>
      <c r="AN1275" s="33"/>
      <c r="AO1275" s="33"/>
      <c r="AP1275" s="33"/>
      <c r="AQ1275" s="33"/>
      <c r="AR1275" s="33"/>
      <c r="AS1275" s="33"/>
      <c r="AT1275" s="33"/>
      <c r="AU1275" s="33"/>
      <c r="AV1275" s="33"/>
      <c r="AW1275" s="33"/>
      <c r="AX1275" s="33"/>
    </row>
    <row r="1276" spans="1:50" ht="12">
      <c r="A1276" s="34"/>
      <c r="B1276" s="34"/>
      <c r="C1276" s="34"/>
      <c r="D1276" s="34"/>
      <c r="E1276" s="34"/>
      <c r="F1276" s="34"/>
      <c r="G1276" s="34"/>
      <c r="H1276" s="34"/>
      <c r="I1276" s="34"/>
      <c r="J1276" s="34"/>
      <c r="L1276" s="48"/>
      <c r="M1276" s="33"/>
      <c r="N1276" s="33"/>
      <c r="O1276" s="33"/>
      <c r="P1276" s="29"/>
      <c r="Q1276" s="36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  <c r="AJ1276" s="33"/>
      <c r="AK1276" s="33"/>
      <c r="AL1276" s="33"/>
      <c r="AM1276" s="33"/>
      <c r="AN1276" s="33"/>
      <c r="AO1276" s="33"/>
      <c r="AP1276" s="33"/>
      <c r="AQ1276" s="33"/>
      <c r="AR1276" s="33"/>
      <c r="AS1276" s="33"/>
      <c r="AT1276" s="33"/>
      <c r="AU1276" s="33"/>
      <c r="AV1276" s="33"/>
      <c r="AW1276" s="33"/>
      <c r="AX1276" s="33"/>
    </row>
    <row r="1277" spans="1:50" ht="12">
      <c r="A1277" s="34"/>
      <c r="B1277" s="34"/>
      <c r="C1277" s="34"/>
      <c r="D1277" s="34"/>
      <c r="E1277" s="34"/>
      <c r="F1277" s="34"/>
      <c r="G1277" s="34"/>
      <c r="H1277" s="34"/>
      <c r="I1277" s="34"/>
      <c r="J1277" s="34"/>
      <c r="L1277" s="48"/>
      <c r="M1277" s="33"/>
      <c r="N1277" s="33"/>
      <c r="O1277" s="33"/>
      <c r="P1277" s="29"/>
      <c r="Q1277" s="36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  <c r="AJ1277" s="33"/>
      <c r="AK1277" s="33"/>
      <c r="AL1277" s="33"/>
      <c r="AM1277" s="33"/>
      <c r="AN1277" s="33"/>
      <c r="AO1277" s="33"/>
      <c r="AP1277" s="33"/>
      <c r="AQ1277" s="33"/>
      <c r="AR1277" s="33"/>
      <c r="AS1277" s="33"/>
      <c r="AT1277" s="33"/>
      <c r="AU1277" s="33"/>
      <c r="AV1277" s="33"/>
      <c r="AW1277" s="33"/>
      <c r="AX1277" s="33"/>
    </row>
    <row r="1278" spans="1:50" ht="12">
      <c r="A1278" s="34"/>
      <c r="B1278" s="34"/>
      <c r="C1278" s="34"/>
      <c r="D1278" s="34"/>
      <c r="E1278" s="34"/>
      <c r="F1278" s="34"/>
      <c r="G1278" s="34"/>
      <c r="H1278" s="34"/>
      <c r="I1278" s="34"/>
      <c r="J1278" s="34"/>
      <c r="L1278" s="48"/>
      <c r="M1278" s="33"/>
      <c r="N1278" s="33"/>
      <c r="O1278" s="33"/>
      <c r="P1278" s="29"/>
      <c r="Q1278" s="36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  <c r="AJ1278" s="33"/>
      <c r="AK1278" s="33"/>
      <c r="AL1278" s="33"/>
      <c r="AM1278" s="33"/>
      <c r="AN1278" s="33"/>
      <c r="AO1278" s="33"/>
      <c r="AP1278" s="33"/>
      <c r="AQ1278" s="33"/>
      <c r="AR1278" s="33"/>
      <c r="AS1278" s="33"/>
      <c r="AT1278" s="33"/>
      <c r="AU1278" s="33"/>
      <c r="AV1278" s="33"/>
      <c r="AW1278" s="33"/>
      <c r="AX1278" s="33"/>
    </row>
    <row r="1279" spans="1:50" ht="12">
      <c r="A1279" s="34"/>
      <c r="B1279" s="34"/>
      <c r="C1279" s="34"/>
      <c r="D1279" s="34"/>
      <c r="E1279" s="34"/>
      <c r="F1279" s="34"/>
      <c r="G1279" s="34"/>
      <c r="H1279" s="34"/>
      <c r="I1279" s="34"/>
      <c r="J1279" s="34"/>
      <c r="L1279" s="48"/>
      <c r="M1279" s="33"/>
      <c r="N1279" s="33"/>
      <c r="O1279" s="33"/>
      <c r="P1279" s="29"/>
      <c r="Q1279" s="36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  <c r="AJ1279" s="33"/>
      <c r="AK1279" s="33"/>
      <c r="AL1279" s="33"/>
      <c r="AM1279" s="33"/>
      <c r="AN1279" s="33"/>
      <c r="AO1279" s="33"/>
      <c r="AP1279" s="33"/>
      <c r="AQ1279" s="33"/>
      <c r="AR1279" s="33"/>
      <c r="AS1279" s="33"/>
      <c r="AT1279" s="33"/>
      <c r="AU1279" s="33"/>
      <c r="AV1279" s="33"/>
      <c r="AW1279" s="33"/>
      <c r="AX1279" s="33"/>
    </row>
    <row r="1280" spans="1:50" ht="12">
      <c r="A1280" s="34"/>
      <c r="B1280" s="34"/>
      <c r="C1280" s="34"/>
      <c r="D1280" s="34"/>
      <c r="E1280" s="34"/>
      <c r="F1280" s="34"/>
      <c r="G1280" s="34"/>
      <c r="H1280" s="34"/>
      <c r="I1280" s="34"/>
      <c r="J1280" s="34"/>
      <c r="L1280" s="48"/>
      <c r="M1280" s="33"/>
      <c r="N1280" s="33"/>
      <c r="O1280" s="33"/>
      <c r="P1280" s="29"/>
      <c r="Q1280" s="36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  <c r="AJ1280" s="33"/>
      <c r="AK1280" s="33"/>
      <c r="AL1280" s="33"/>
      <c r="AM1280" s="33"/>
      <c r="AN1280" s="33"/>
      <c r="AO1280" s="33"/>
      <c r="AP1280" s="33"/>
      <c r="AQ1280" s="33"/>
      <c r="AR1280" s="33"/>
      <c r="AS1280" s="33"/>
      <c r="AT1280" s="33"/>
      <c r="AU1280" s="33"/>
      <c r="AV1280" s="33"/>
      <c r="AW1280" s="33"/>
      <c r="AX1280" s="33"/>
    </row>
    <row r="1281" spans="1:50" ht="12">
      <c r="A1281" s="34"/>
      <c r="B1281" s="34"/>
      <c r="C1281" s="34"/>
      <c r="D1281" s="34"/>
      <c r="E1281" s="34"/>
      <c r="F1281" s="34"/>
      <c r="G1281" s="34"/>
      <c r="H1281" s="34"/>
      <c r="I1281" s="34"/>
      <c r="J1281" s="34"/>
      <c r="L1281" s="48"/>
      <c r="M1281" s="33"/>
      <c r="N1281" s="33"/>
      <c r="O1281" s="33"/>
      <c r="P1281" s="29"/>
      <c r="Q1281" s="36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  <c r="AJ1281" s="33"/>
      <c r="AK1281" s="33"/>
      <c r="AL1281" s="33"/>
      <c r="AM1281" s="33"/>
      <c r="AN1281" s="33"/>
      <c r="AO1281" s="33"/>
      <c r="AP1281" s="33"/>
      <c r="AQ1281" s="33"/>
      <c r="AR1281" s="33"/>
      <c r="AS1281" s="33"/>
      <c r="AT1281" s="33"/>
      <c r="AU1281" s="33"/>
      <c r="AV1281" s="33"/>
      <c r="AW1281" s="33"/>
      <c r="AX1281" s="33"/>
    </row>
    <row r="1282" spans="1:50" ht="12">
      <c r="A1282" s="34"/>
      <c r="B1282" s="34"/>
      <c r="C1282" s="34"/>
      <c r="D1282" s="34"/>
      <c r="E1282" s="34"/>
      <c r="F1282" s="34"/>
      <c r="G1282" s="34"/>
      <c r="H1282" s="34"/>
      <c r="I1282" s="34"/>
      <c r="J1282" s="34"/>
      <c r="L1282" s="48"/>
      <c r="M1282" s="33"/>
      <c r="N1282" s="33"/>
      <c r="O1282" s="33"/>
      <c r="P1282" s="29"/>
      <c r="Q1282" s="36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  <c r="AJ1282" s="33"/>
      <c r="AK1282" s="33"/>
      <c r="AL1282" s="33"/>
      <c r="AM1282" s="33"/>
      <c r="AN1282" s="33"/>
      <c r="AO1282" s="33"/>
      <c r="AP1282" s="33"/>
      <c r="AQ1282" s="33"/>
      <c r="AR1282" s="33"/>
      <c r="AS1282" s="33"/>
      <c r="AT1282" s="33"/>
      <c r="AU1282" s="33"/>
      <c r="AV1282" s="33"/>
      <c r="AW1282" s="33"/>
      <c r="AX1282" s="33"/>
    </row>
    <row r="1283" spans="1:50" ht="12">
      <c r="A1283" s="34"/>
      <c r="B1283" s="34"/>
      <c r="C1283" s="34"/>
      <c r="D1283" s="34"/>
      <c r="E1283" s="34"/>
      <c r="F1283" s="34"/>
      <c r="G1283" s="34"/>
      <c r="H1283" s="34"/>
      <c r="I1283" s="34"/>
      <c r="J1283" s="34"/>
      <c r="L1283" s="48"/>
      <c r="M1283" s="33"/>
      <c r="N1283" s="33"/>
      <c r="O1283" s="33"/>
      <c r="P1283" s="29"/>
      <c r="Q1283" s="36"/>
      <c r="R1283" s="33"/>
      <c r="S1283" s="33"/>
      <c r="T1283" s="33"/>
      <c r="U1283" s="33"/>
      <c r="V1283" s="33"/>
      <c r="W1283" s="33"/>
      <c r="X1283" s="33"/>
      <c r="Y1283" s="33"/>
      <c r="Z1283" s="33"/>
      <c r="AA1283" s="33"/>
      <c r="AB1283" s="33"/>
      <c r="AC1283" s="33"/>
      <c r="AD1283" s="33"/>
      <c r="AE1283" s="33"/>
      <c r="AF1283" s="33"/>
      <c r="AG1283" s="33"/>
      <c r="AH1283" s="33"/>
      <c r="AI1283" s="33"/>
      <c r="AJ1283" s="33"/>
      <c r="AK1283" s="33"/>
      <c r="AL1283" s="33"/>
      <c r="AM1283" s="33"/>
      <c r="AN1283" s="33"/>
      <c r="AO1283" s="33"/>
      <c r="AP1283" s="33"/>
      <c r="AQ1283" s="33"/>
      <c r="AR1283" s="33"/>
      <c r="AS1283" s="33"/>
      <c r="AT1283" s="33"/>
      <c r="AU1283" s="33"/>
      <c r="AV1283" s="33"/>
      <c r="AW1283" s="33"/>
      <c r="AX1283" s="33"/>
    </row>
    <row r="1284" spans="1:50" ht="12">
      <c r="A1284" s="34"/>
      <c r="B1284" s="34"/>
      <c r="C1284" s="34"/>
      <c r="D1284" s="34"/>
      <c r="E1284" s="34"/>
      <c r="F1284" s="34"/>
      <c r="G1284" s="34"/>
      <c r="H1284" s="34"/>
      <c r="I1284" s="34"/>
      <c r="J1284" s="34"/>
      <c r="L1284" s="48"/>
      <c r="M1284" s="33"/>
      <c r="N1284" s="33"/>
      <c r="O1284" s="33"/>
      <c r="P1284" s="29"/>
      <c r="Q1284" s="36"/>
      <c r="R1284" s="33"/>
      <c r="S1284" s="33"/>
      <c r="T1284" s="33"/>
      <c r="U1284" s="33"/>
      <c r="V1284" s="33"/>
      <c r="W1284" s="33"/>
      <c r="X1284" s="33"/>
      <c r="Y1284" s="33"/>
      <c r="Z1284" s="33"/>
      <c r="AA1284" s="33"/>
      <c r="AB1284" s="33"/>
      <c r="AC1284" s="33"/>
      <c r="AD1284" s="33"/>
      <c r="AE1284" s="33"/>
      <c r="AF1284" s="33"/>
      <c r="AG1284" s="33"/>
      <c r="AH1284" s="33"/>
      <c r="AI1284" s="33"/>
      <c r="AJ1284" s="33"/>
      <c r="AK1284" s="33"/>
      <c r="AL1284" s="33"/>
      <c r="AM1284" s="33"/>
      <c r="AN1284" s="33"/>
      <c r="AO1284" s="33"/>
      <c r="AP1284" s="33"/>
      <c r="AQ1284" s="33"/>
      <c r="AR1284" s="33"/>
      <c r="AS1284" s="33"/>
      <c r="AT1284" s="33"/>
      <c r="AU1284" s="33"/>
      <c r="AV1284" s="33"/>
      <c r="AW1284" s="33"/>
      <c r="AX1284" s="33"/>
    </row>
    <row r="1285" spans="1:50" ht="12">
      <c r="A1285" s="34"/>
      <c r="B1285" s="34"/>
      <c r="C1285" s="34"/>
      <c r="D1285" s="34"/>
      <c r="E1285" s="34"/>
      <c r="F1285" s="34"/>
      <c r="G1285" s="34"/>
      <c r="H1285" s="34"/>
      <c r="I1285" s="34"/>
      <c r="J1285" s="34"/>
      <c r="L1285" s="48"/>
      <c r="M1285" s="33"/>
      <c r="N1285" s="33"/>
      <c r="O1285" s="33"/>
      <c r="P1285" s="29"/>
      <c r="Q1285" s="36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  <c r="AJ1285" s="33"/>
      <c r="AK1285" s="33"/>
      <c r="AL1285" s="33"/>
      <c r="AM1285" s="33"/>
      <c r="AN1285" s="33"/>
      <c r="AO1285" s="33"/>
      <c r="AP1285" s="33"/>
      <c r="AQ1285" s="33"/>
      <c r="AR1285" s="33"/>
      <c r="AS1285" s="33"/>
      <c r="AT1285" s="33"/>
      <c r="AU1285" s="33"/>
      <c r="AV1285" s="33"/>
      <c r="AW1285" s="33"/>
      <c r="AX1285" s="33"/>
    </row>
    <row r="1286" spans="1:50" ht="12">
      <c r="A1286" s="34"/>
      <c r="B1286" s="34"/>
      <c r="C1286" s="34"/>
      <c r="D1286" s="34"/>
      <c r="E1286" s="34"/>
      <c r="F1286" s="34"/>
      <c r="G1286" s="34"/>
      <c r="H1286" s="34"/>
      <c r="I1286" s="34"/>
      <c r="J1286" s="34"/>
      <c r="L1286" s="48"/>
      <c r="M1286" s="33"/>
      <c r="N1286" s="33"/>
      <c r="O1286" s="33"/>
      <c r="P1286" s="29"/>
      <c r="Q1286" s="36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  <c r="AJ1286" s="33"/>
      <c r="AK1286" s="33"/>
      <c r="AL1286" s="33"/>
      <c r="AM1286" s="33"/>
      <c r="AN1286" s="33"/>
      <c r="AO1286" s="33"/>
      <c r="AP1286" s="33"/>
      <c r="AQ1286" s="33"/>
      <c r="AR1286" s="33"/>
      <c r="AS1286" s="33"/>
      <c r="AT1286" s="33"/>
      <c r="AU1286" s="33"/>
      <c r="AV1286" s="33"/>
      <c r="AW1286" s="33"/>
      <c r="AX1286" s="33"/>
    </row>
    <row r="1287" spans="1:50" ht="12">
      <c r="A1287" s="34"/>
      <c r="B1287" s="34"/>
      <c r="C1287" s="34"/>
      <c r="D1287" s="34"/>
      <c r="E1287" s="34"/>
      <c r="F1287" s="34"/>
      <c r="G1287" s="34"/>
      <c r="H1287" s="34"/>
      <c r="I1287" s="34"/>
      <c r="J1287" s="34"/>
      <c r="L1287" s="48"/>
      <c r="M1287" s="33"/>
      <c r="N1287" s="33"/>
      <c r="O1287" s="33"/>
      <c r="P1287" s="29"/>
      <c r="Q1287" s="36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  <c r="AJ1287" s="33"/>
      <c r="AK1287" s="33"/>
      <c r="AL1287" s="33"/>
      <c r="AM1287" s="33"/>
      <c r="AN1287" s="33"/>
      <c r="AO1287" s="33"/>
      <c r="AP1287" s="33"/>
      <c r="AQ1287" s="33"/>
      <c r="AR1287" s="33"/>
      <c r="AS1287" s="33"/>
      <c r="AT1287" s="33"/>
      <c r="AU1287" s="33"/>
      <c r="AV1287" s="33"/>
      <c r="AW1287" s="33"/>
      <c r="AX1287" s="33"/>
    </row>
    <row r="1288" spans="1:50" ht="12">
      <c r="A1288" s="34"/>
      <c r="B1288" s="34"/>
      <c r="C1288" s="34"/>
      <c r="D1288" s="34"/>
      <c r="E1288" s="34"/>
      <c r="F1288" s="34"/>
      <c r="G1288" s="34"/>
      <c r="H1288" s="34"/>
      <c r="I1288" s="34"/>
      <c r="J1288" s="34"/>
      <c r="L1288" s="48"/>
      <c r="M1288" s="33"/>
      <c r="N1288" s="33"/>
      <c r="O1288" s="33"/>
      <c r="P1288" s="29"/>
      <c r="Q1288" s="36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  <c r="AJ1288" s="33"/>
      <c r="AK1288" s="33"/>
      <c r="AL1288" s="33"/>
      <c r="AM1288" s="33"/>
      <c r="AN1288" s="33"/>
      <c r="AO1288" s="33"/>
      <c r="AP1288" s="33"/>
      <c r="AQ1288" s="33"/>
      <c r="AR1288" s="33"/>
      <c r="AS1288" s="33"/>
      <c r="AT1288" s="33"/>
      <c r="AU1288" s="33"/>
      <c r="AV1288" s="33"/>
      <c r="AW1288" s="33"/>
      <c r="AX1288" s="33"/>
    </row>
    <row r="1289" spans="1:50" ht="12">
      <c r="A1289" s="34"/>
      <c r="B1289" s="34"/>
      <c r="C1289" s="34"/>
      <c r="D1289" s="34"/>
      <c r="E1289" s="34"/>
      <c r="F1289" s="34"/>
      <c r="G1289" s="34"/>
      <c r="H1289" s="34"/>
      <c r="I1289" s="34"/>
      <c r="J1289" s="34"/>
      <c r="L1289" s="48"/>
      <c r="M1289" s="33"/>
      <c r="N1289" s="33"/>
      <c r="O1289" s="33"/>
      <c r="P1289" s="29"/>
      <c r="Q1289" s="36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  <c r="AJ1289" s="33"/>
      <c r="AK1289" s="33"/>
      <c r="AL1289" s="33"/>
      <c r="AM1289" s="33"/>
      <c r="AN1289" s="33"/>
      <c r="AO1289" s="33"/>
      <c r="AP1289" s="33"/>
      <c r="AQ1289" s="33"/>
      <c r="AR1289" s="33"/>
      <c r="AS1289" s="33"/>
      <c r="AT1289" s="33"/>
      <c r="AU1289" s="33"/>
      <c r="AV1289" s="33"/>
      <c r="AW1289" s="33"/>
      <c r="AX1289" s="33"/>
    </row>
    <row r="1290" spans="1:50" ht="12">
      <c r="A1290" s="34"/>
      <c r="B1290" s="34"/>
      <c r="C1290" s="34"/>
      <c r="D1290" s="34"/>
      <c r="E1290" s="34"/>
      <c r="F1290" s="34"/>
      <c r="G1290" s="34"/>
      <c r="H1290" s="34"/>
      <c r="I1290" s="34"/>
      <c r="J1290" s="34"/>
      <c r="L1290" s="48"/>
      <c r="M1290" s="33"/>
      <c r="N1290" s="33"/>
      <c r="O1290" s="33"/>
      <c r="P1290" s="29"/>
      <c r="Q1290" s="36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  <c r="AJ1290" s="33"/>
      <c r="AK1290" s="33"/>
      <c r="AL1290" s="33"/>
      <c r="AM1290" s="33"/>
      <c r="AN1290" s="33"/>
      <c r="AO1290" s="33"/>
      <c r="AP1290" s="33"/>
      <c r="AQ1290" s="33"/>
      <c r="AR1290" s="33"/>
      <c r="AS1290" s="33"/>
      <c r="AT1290" s="33"/>
      <c r="AU1290" s="33"/>
      <c r="AV1290" s="33"/>
      <c r="AW1290" s="33"/>
      <c r="AX1290" s="33"/>
    </row>
    <row r="1291" spans="1:50" ht="12">
      <c r="A1291" s="34"/>
      <c r="B1291" s="34"/>
      <c r="C1291" s="34"/>
      <c r="D1291" s="34"/>
      <c r="E1291" s="34"/>
      <c r="F1291" s="34"/>
      <c r="G1291" s="34"/>
      <c r="H1291" s="34"/>
      <c r="I1291" s="34"/>
      <c r="J1291" s="34"/>
      <c r="L1291" s="48"/>
      <c r="M1291" s="33"/>
      <c r="N1291" s="33"/>
      <c r="O1291" s="33"/>
      <c r="P1291" s="29"/>
      <c r="Q1291" s="36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  <c r="AJ1291" s="33"/>
      <c r="AK1291" s="33"/>
      <c r="AL1291" s="33"/>
      <c r="AM1291" s="33"/>
      <c r="AN1291" s="33"/>
      <c r="AO1291" s="33"/>
      <c r="AP1291" s="33"/>
      <c r="AQ1291" s="33"/>
      <c r="AR1291" s="33"/>
      <c r="AS1291" s="33"/>
      <c r="AT1291" s="33"/>
      <c r="AU1291" s="33"/>
      <c r="AV1291" s="33"/>
      <c r="AW1291" s="33"/>
      <c r="AX1291" s="33"/>
    </row>
    <row r="1292" spans="1:50" ht="12">
      <c r="A1292" s="34"/>
      <c r="B1292" s="34"/>
      <c r="C1292" s="34"/>
      <c r="D1292" s="34"/>
      <c r="E1292" s="34"/>
      <c r="F1292" s="34"/>
      <c r="G1292" s="34"/>
      <c r="H1292" s="34"/>
      <c r="I1292" s="34"/>
      <c r="J1292" s="34"/>
      <c r="L1292" s="48"/>
      <c r="M1292" s="33"/>
      <c r="N1292" s="33"/>
      <c r="O1292" s="33"/>
      <c r="P1292" s="29"/>
      <c r="Q1292" s="36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  <c r="AJ1292" s="33"/>
      <c r="AK1292" s="33"/>
      <c r="AL1292" s="33"/>
      <c r="AM1292" s="33"/>
      <c r="AN1292" s="33"/>
      <c r="AO1292" s="33"/>
      <c r="AP1292" s="33"/>
      <c r="AQ1292" s="33"/>
      <c r="AR1292" s="33"/>
      <c r="AS1292" s="33"/>
      <c r="AT1292" s="33"/>
      <c r="AU1292" s="33"/>
      <c r="AV1292" s="33"/>
      <c r="AW1292" s="33"/>
      <c r="AX1292" s="33"/>
    </row>
    <row r="1293" spans="1:50" ht="12">
      <c r="A1293" s="34"/>
      <c r="B1293" s="34"/>
      <c r="C1293" s="34"/>
      <c r="D1293" s="34"/>
      <c r="E1293" s="34"/>
      <c r="F1293" s="34"/>
      <c r="G1293" s="34"/>
      <c r="H1293" s="34"/>
      <c r="I1293" s="34"/>
      <c r="J1293" s="34"/>
      <c r="L1293" s="48"/>
      <c r="M1293" s="33"/>
      <c r="N1293" s="33"/>
      <c r="O1293" s="33"/>
      <c r="P1293" s="29"/>
      <c r="Q1293" s="36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  <c r="AJ1293" s="33"/>
      <c r="AK1293" s="33"/>
      <c r="AL1293" s="33"/>
      <c r="AM1293" s="33"/>
      <c r="AN1293" s="33"/>
      <c r="AO1293" s="33"/>
      <c r="AP1293" s="33"/>
      <c r="AQ1293" s="33"/>
      <c r="AR1293" s="33"/>
      <c r="AS1293" s="33"/>
      <c r="AT1293" s="33"/>
      <c r="AU1293" s="33"/>
      <c r="AV1293" s="33"/>
      <c r="AW1293" s="33"/>
      <c r="AX1293" s="33"/>
    </row>
    <row r="1294" spans="1:50" ht="12">
      <c r="A1294" s="34"/>
      <c r="B1294" s="34"/>
      <c r="C1294" s="34"/>
      <c r="D1294" s="34"/>
      <c r="E1294" s="34"/>
      <c r="F1294" s="34"/>
      <c r="G1294" s="34"/>
      <c r="H1294" s="34"/>
      <c r="I1294" s="34"/>
      <c r="J1294" s="34"/>
      <c r="L1294" s="48"/>
      <c r="M1294" s="33"/>
      <c r="N1294" s="33"/>
      <c r="O1294" s="33"/>
      <c r="P1294" s="29"/>
      <c r="Q1294" s="36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  <c r="AJ1294" s="33"/>
      <c r="AK1294" s="33"/>
      <c r="AL1294" s="33"/>
      <c r="AM1294" s="33"/>
      <c r="AN1294" s="33"/>
      <c r="AO1294" s="33"/>
      <c r="AP1294" s="33"/>
      <c r="AQ1294" s="33"/>
      <c r="AR1294" s="33"/>
      <c r="AS1294" s="33"/>
      <c r="AT1294" s="33"/>
      <c r="AU1294" s="33"/>
      <c r="AV1294" s="33"/>
      <c r="AW1294" s="33"/>
      <c r="AX1294" s="33"/>
    </row>
    <row r="1295" spans="1:50" ht="12">
      <c r="A1295" s="34"/>
      <c r="B1295" s="34"/>
      <c r="C1295" s="34"/>
      <c r="D1295" s="34"/>
      <c r="E1295" s="34"/>
      <c r="F1295" s="34"/>
      <c r="G1295" s="34"/>
      <c r="H1295" s="34"/>
      <c r="I1295" s="34"/>
      <c r="J1295" s="34"/>
      <c r="L1295" s="48"/>
      <c r="M1295" s="33"/>
      <c r="N1295" s="33"/>
      <c r="O1295" s="33"/>
      <c r="P1295" s="29"/>
      <c r="Q1295" s="36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  <c r="AJ1295" s="33"/>
      <c r="AK1295" s="33"/>
      <c r="AL1295" s="33"/>
      <c r="AM1295" s="33"/>
      <c r="AN1295" s="33"/>
      <c r="AO1295" s="33"/>
      <c r="AP1295" s="33"/>
      <c r="AQ1295" s="33"/>
      <c r="AR1295" s="33"/>
      <c r="AS1295" s="33"/>
      <c r="AT1295" s="33"/>
      <c r="AU1295" s="33"/>
      <c r="AV1295" s="33"/>
      <c r="AW1295" s="33"/>
      <c r="AX1295" s="33"/>
    </row>
    <row r="1296" spans="1:50" ht="12">
      <c r="A1296" s="34"/>
      <c r="B1296" s="34"/>
      <c r="C1296" s="34"/>
      <c r="D1296" s="34"/>
      <c r="E1296" s="34"/>
      <c r="F1296" s="34"/>
      <c r="G1296" s="34"/>
      <c r="H1296" s="34"/>
      <c r="I1296" s="34"/>
      <c r="J1296" s="34"/>
      <c r="L1296" s="48"/>
      <c r="M1296" s="33"/>
      <c r="N1296" s="33"/>
      <c r="O1296" s="33"/>
      <c r="P1296" s="29"/>
      <c r="Q1296" s="36"/>
      <c r="R1296" s="33"/>
      <c r="S1296" s="33"/>
      <c r="T1296" s="33"/>
      <c r="U1296" s="33"/>
      <c r="V1296" s="33"/>
      <c r="W1296" s="33"/>
      <c r="X1296" s="33"/>
      <c r="Y1296" s="33"/>
      <c r="Z1296" s="33"/>
      <c r="AA1296" s="33"/>
      <c r="AB1296" s="33"/>
      <c r="AC1296" s="33"/>
      <c r="AD1296" s="33"/>
      <c r="AE1296" s="33"/>
      <c r="AF1296" s="33"/>
      <c r="AG1296" s="33"/>
      <c r="AH1296" s="33"/>
      <c r="AI1296" s="33"/>
      <c r="AJ1296" s="33"/>
      <c r="AK1296" s="33"/>
      <c r="AL1296" s="33"/>
      <c r="AM1296" s="33"/>
      <c r="AN1296" s="33"/>
      <c r="AO1296" s="33"/>
      <c r="AP1296" s="33"/>
      <c r="AQ1296" s="33"/>
      <c r="AR1296" s="33"/>
      <c r="AS1296" s="33"/>
      <c r="AT1296" s="33"/>
      <c r="AU1296" s="33"/>
      <c r="AV1296" s="33"/>
      <c r="AW1296" s="33"/>
      <c r="AX1296" s="33"/>
    </row>
    <row r="1297" spans="1:50" ht="12">
      <c r="A1297" s="34"/>
      <c r="B1297" s="34"/>
      <c r="C1297" s="34"/>
      <c r="D1297" s="34"/>
      <c r="E1297" s="34"/>
      <c r="F1297" s="34"/>
      <c r="G1297" s="34"/>
      <c r="H1297" s="34"/>
      <c r="I1297" s="34"/>
      <c r="J1297" s="34"/>
      <c r="L1297" s="48"/>
      <c r="M1297" s="33"/>
      <c r="N1297" s="33"/>
      <c r="O1297" s="33"/>
      <c r="P1297" s="29"/>
      <c r="Q1297" s="36"/>
      <c r="R1297" s="33"/>
      <c r="S1297" s="33"/>
      <c r="T1297" s="33"/>
      <c r="U1297" s="33"/>
      <c r="V1297" s="33"/>
      <c r="W1297" s="33"/>
      <c r="X1297" s="33"/>
      <c r="Y1297" s="33"/>
      <c r="Z1297" s="33"/>
      <c r="AA1297" s="33"/>
      <c r="AB1297" s="33"/>
      <c r="AC1297" s="33"/>
      <c r="AD1297" s="33"/>
      <c r="AE1297" s="33"/>
      <c r="AF1297" s="33"/>
      <c r="AG1297" s="33"/>
      <c r="AH1297" s="33"/>
      <c r="AI1297" s="33"/>
      <c r="AJ1297" s="33"/>
      <c r="AK1297" s="33"/>
      <c r="AL1297" s="33"/>
      <c r="AM1297" s="33"/>
      <c r="AN1297" s="33"/>
      <c r="AO1297" s="33"/>
      <c r="AP1297" s="33"/>
      <c r="AQ1297" s="33"/>
      <c r="AR1297" s="33"/>
      <c r="AS1297" s="33"/>
      <c r="AT1297" s="33"/>
      <c r="AU1297" s="33"/>
      <c r="AV1297" s="33"/>
      <c r="AW1297" s="33"/>
      <c r="AX1297" s="33"/>
    </row>
    <row r="1298" spans="1:50" ht="12">
      <c r="A1298" s="34"/>
      <c r="B1298" s="34"/>
      <c r="C1298" s="34"/>
      <c r="D1298" s="34"/>
      <c r="E1298" s="34"/>
      <c r="F1298" s="34"/>
      <c r="G1298" s="34"/>
      <c r="H1298" s="34"/>
      <c r="I1298" s="34"/>
      <c r="J1298" s="34"/>
      <c r="L1298" s="48"/>
      <c r="M1298" s="33"/>
      <c r="N1298" s="33"/>
      <c r="O1298" s="33"/>
      <c r="P1298" s="29"/>
      <c r="Q1298" s="36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  <c r="AJ1298" s="33"/>
      <c r="AK1298" s="33"/>
      <c r="AL1298" s="33"/>
      <c r="AM1298" s="33"/>
      <c r="AN1298" s="33"/>
      <c r="AO1298" s="33"/>
      <c r="AP1298" s="33"/>
      <c r="AQ1298" s="33"/>
      <c r="AR1298" s="33"/>
      <c r="AS1298" s="33"/>
      <c r="AT1298" s="33"/>
      <c r="AU1298" s="33"/>
      <c r="AV1298" s="33"/>
      <c r="AW1298" s="33"/>
      <c r="AX1298" s="33"/>
    </row>
    <row r="1299" spans="1:50" ht="12">
      <c r="A1299" s="34"/>
      <c r="B1299" s="34"/>
      <c r="C1299" s="34"/>
      <c r="D1299" s="34"/>
      <c r="E1299" s="34"/>
      <c r="F1299" s="34"/>
      <c r="G1299" s="34"/>
      <c r="H1299" s="34"/>
      <c r="I1299" s="34"/>
      <c r="J1299" s="34"/>
      <c r="L1299" s="48"/>
      <c r="M1299" s="33"/>
      <c r="N1299" s="33"/>
      <c r="O1299" s="33"/>
      <c r="P1299" s="29"/>
      <c r="Q1299" s="36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  <c r="AJ1299" s="33"/>
      <c r="AK1299" s="33"/>
      <c r="AL1299" s="33"/>
      <c r="AM1299" s="33"/>
      <c r="AN1299" s="33"/>
      <c r="AO1299" s="33"/>
      <c r="AP1299" s="33"/>
      <c r="AQ1299" s="33"/>
      <c r="AR1299" s="33"/>
      <c r="AS1299" s="33"/>
      <c r="AT1299" s="33"/>
      <c r="AU1299" s="33"/>
      <c r="AV1299" s="33"/>
      <c r="AW1299" s="33"/>
      <c r="AX1299" s="33"/>
    </row>
    <row r="1300" spans="1:50" ht="12">
      <c r="A1300" s="34"/>
      <c r="B1300" s="34"/>
      <c r="C1300" s="34"/>
      <c r="D1300" s="34"/>
      <c r="E1300" s="34"/>
      <c r="F1300" s="34"/>
      <c r="G1300" s="34"/>
      <c r="H1300" s="34"/>
      <c r="I1300" s="34"/>
      <c r="J1300" s="34"/>
      <c r="L1300" s="48"/>
      <c r="M1300" s="33"/>
      <c r="N1300" s="33"/>
      <c r="O1300" s="33"/>
      <c r="P1300" s="29"/>
      <c r="Q1300" s="36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  <c r="AJ1300" s="33"/>
      <c r="AK1300" s="33"/>
      <c r="AL1300" s="33"/>
      <c r="AM1300" s="33"/>
      <c r="AN1300" s="33"/>
      <c r="AO1300" s="33"/>
      <c r="AP1300" s="33"/>
      <c r="AQ1300" s="33"/>
      <c r="AR1300" s="33"/>
      <c r="AS1300" s="33"/>
      <c r="AT1300" s="33"/>
      <c r="AU1300" s="33"/>
      <c r="AV1300" s="33"/>
      <c r="AW1300" s="33"/>
      <c r="AX1300" s="33"/>
    </row>
    <row r="1301" spans="1:50" ht="12">
      <c r="A1301" s="34"/>
      <c r="B1301" s="34"/>
      <c r="C1301" s="34"/>
      <c r="D1301" s="34"/>
      <c r="E1301" s="34"/>
      <c r="F1301" s="34"/>
      <c r="G1301" s="34"/>
      <c r="H1301" s="34"/>
      <c r="I1301" s="34"/>
      <c r="J1301" s="34"/>
      <c r="L1301" s="48"/>
      <c r="M1301" s="33"/>
      <c r="N1301" s="33"/>
      <c r="O1301" s="33"/>
      <c r="P1301" s="29"/>
      <c r="Q1301" s="36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  <c r="AJ1301" s="33"/>
      <c r="AK1301" s="33"/>
      <c r="AL1301" s="33"/>
      <c r="AM1301" s="33"/>
      <c r="AN1301" s="33"/>
      <c r="AO1301" s="33"/>
      <c r="AP1301" s="33"/>
      <c r="AQ1301" s="33"/>
      <c r="AR1301" s="33"/>
      <c r="AS1301" s="33"/>
      <c r="AT1301" s="33"/>
      <c r="AU1301" s="33"/>
      <c r="AV1301" s="33"/>
      <c r="AW1301" s="33"/>
      <c r="AX1301" s="33"/>
    </row>
    <row r="1302" spans="1:50" ht="12">
      <c r="A1302" s="34"/>
      <c r="B1302" s="34"/>
      <c r="C1302" s="34"/>
      <c r="D1302" s="34"/>
      <c r="E1302" s="34"/>
      <c r="F1302" s="34"/>
      <c r="G1302" s="34"/>
      <c r="H1302" s="34"/>
      <c r="I1302" s="34"/>
      <c r="J1302" s="34"/>
      <c r="L1302" s="48"/>
      <c r="M1302" s="33"/>
      <c r="N1302" s="33"/>
      <c r="O1302" s="33"/>
      <c r="P1302" s="29"/>
      <c r="Q1302" s="36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  <c r="AJ1302" s="33"/>
      <c r="AK1302" s="33"/>
      <c r="AL1302" s="33"/>
      <c r="AM1302" s="33"/>
      <c r="AN1302" s="33"/>
      <c r="AO1302" s="33"/>
      <c r="AP1302" s="33"/>
      <c r="AQ1302" s="33"/>
      <c r="AR1302" s="33"/>
      <c r="AS1302" s="33"/>
      <c r="AT1302" s="33"/>
      <c r="AU1302" s="33"/>
      <c r="AV1302" s="33"/>
      <c r="AW1302" s="33"/>
      <c r="AX1302" s="33"/>
    </row>
    <row r="1303" spans="1:50" ht="12">
      <c r="A1303" s="34"/>
      <c r="B1303" s="34"/>
      <c r="C1303" s="34"/>
      <c r="D1303" s="34"/>
      <c r="E1303" s="34"/>
      <c r="F1303" s="34"/>
      <c r="G1303" s="34"/>
      <c r="H1303" s="34"/>
      <c r="I1303" s="34"/>
      <c r="J1303" s="34"/>
      <c r="L1303" s="48"/>
      <c r="M1303" s="33"/>
      <c r="N1303" s="33"/>
      <c r="O1303" s="33"/>
      <c r="P1303" s="29"/>
      <c r="Q1303" s="36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  <c r="AJ1303" s="33"/>
      <c r="AK1303" s="33"/>
      <c r="AL1303" s="33"/>
      <c r="AM1303" s="33"/>
      <c r="AN1303" s="33"/>
      <c r="AO1303" s="33"/>
      <c r="AP1303" s="33"/>
      <c r="AQ1303" s="33"/>
      <c r="AR1303" s="33"/>
      <c r="AS1303" s="33"/>
      <c r="AT1303" s="33"/>
      <c r="AU1303" s="33"/>
      <c r="AV1303" s="33"/>
      <c r="AW1303" s="33"/>
      <c r="AX1303" s="33"/>
    </row>
    <row r="1304" spans="1:50" ht="12">
      <c r="A1304" s="34"/>
      <c r="B1304" s="34"/>
      <c r="C1304" s="34"/>
      <c r="D1304" s="34"/>
      <c r="E1304" s="34"/>
      <c r="F1304" s="34"/>
      <c r="G1304" s="34"/>
      <c r="H1304" s="34"/>
      <c r="I1304" s="34"/>
      <c r="J1304" s="34"/>
      <c r="L1304" s="48"/>
      <c r="M1304" s="33"/>
      <c r="N1304" s="33"/>
      <c r="O1304" s="33"/>
      <c r="P1304" s="29"/>
      <c r="Q1304" s="36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  <c r="AJ1304" s="33"/>
      <c r="AK1304" s="33"/>
      <c r="AL1304" s="33"/>
      <c r="AM1304" s="33"/>
      <c r="AN1304" s="33"/>
      <c r="AO1304" s="33"/>
      <c r="AP1304" s="33"/>
      <c r="AQ1304" s="33"/>
      <c r="AR1304" s="33"/>
      <c r="AS1304" s="33"/>
      <c r="AT1304" s="33"/>
      <c r="AU1304" s="33"/>
      <c r="AV1304" s="33"/>
      <c r="AW1304" s="33"/>
      <c r="AX1304" s="33"/>
    </row>
    <row r="1305" spans="1:50" ht="12">
      <c r="A1305" s="34"/>
      <c r="B1305" s="34"/>
      <c r="C1305" s="34"/>
      <c r="D1305" s="34"/>
      <c r="E1305" s="34"/>
      <c r="F1305" s="34"/>
      <c r="G1305" s="34"/>
      <c r="H1305" s="34"/>
      <c r="I1305" s="34"/>
      <c r="J1305" s="34"/>
      <c r="L1305" s="48"/>
      <c r="M1305" s="33"/>
      <c r="N1305" s="33"/>
      <c r="O1305" s="33"/>
      <c r="P1305" s="29"/>
      <c r="Q1305" s="36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  <c r="AJ1305" s="33"/>
      <c r="AK1305" s="33"/>
      <c r="AL1305" s="33"/>
      <c r="AM1305" s="33"/>
      <c r="AN1305" s="33"/>
      <c r="AO1305" s="33"/>
      <c r="AP1305" s="33"/>
      <c r="AQ1305" s="33"/>
      <c r="AR1305" s="33"/>
      <c r="AS1305" s="33"/>
      <c r="AT1305" s="33"/>
      <c r="AU1305" s="33"/>
      <c r="AV1305" s="33"/>
      <c r="AW1305" s="33"/>
      <c r="AX1305" s="33"/>
    </row>
    <row r="1306" spans="1:50" ht="12">
      <c r="A1306" s="34"/>
      <c r="B1306" s="34"/>
      <c r="C1306" s="34"/>
      <c r="D1306" s="34"/>
      <c r="E1306" s="34"/>
      <c r="F1306" s="34"/>
      <c r="G1306" s="34"/>
      <c r="H1306" s="34"/>
      <c r="I1306" s="34"/>
      <c r="J1306" s="34"/>
      <c r="L1306" s="48"/>
      <c r="M1306" s="33"/>
      <c r="N1306" s="33"/>
      <c r="O1306" s="33"/>
      <c r="P1306" s="29"/>
      <c r="Q1306" s="36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  <c r="AJ1306" s="33"/>
      <c r="AK1306" s="33"/>
      <c r="AL1306" s="33"/>
      <c r="AM1306" s="33"/>
      <c r="AN1306" s="33"/>
      <c r="AO1306" s="33"/>
      <c r="AP1306" s="33"/>
      <c r="AQ1306" s="33"/>
      <c r="AR1306" s="33"/>
      <c r="AS1306" s="33"/>
      <c r="AT1306" s="33"/>
      <c r="AU1306" s="33"/>
      <c r="AV1306" s="33"/>
      <c r="AW1306" s="33"/>
      <c r="AX1306" s="33"/>
    </row>
    <row r="1307" spans="1:50" ht="12">
      <c r="A1307" s="34"/>
      <c r="B1307" s="34"/>
      <c r="C1307" s="34"/>
      <c r="D1307" s="34"/>
      <c r="E1307" s="34"/>
      <c r="F1307" s="34"/>
      <c r="G1307" s="34"/>
      <c r="H1307" s="34"/>
      <c r="I1307" s="34"/>
      <c r="J1307" s="34"/>
      <c r="L1307" s="48"/>
      <c r="M1307" s="33"/>
      <c r="N1307" s="33"/>
      <c r="O1307" s="33"/>
      <c r="P1307" s="29"/>
      <c r="Q1307" s="36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  <c r="AJ1307" s="33"/>
      <c r="AK1307" s="33"/>
      <c r="AL1307" s="33"/>
      <c r="AM1307" s="33"/>
      <c r="AN1307" s="33"/>
      <c r="AO1307" s="33"/>
      <c r="AP1307" s="33"/>
      <c r="AQ1307" s="33"/>
      <c r="AR1307" s="33"/>
      <c r="AS1307" s="33"/>
      <c r="AT1307" s="33"/>
      <c r="AU1307" s="33"/>
      <c r="AV1307" s="33"/>
      <c r="AW1307" s="33"/>
      <c r="AX1307" s="33"/>
    </row>
    <row r="1308" spans="1:50" ht="12">
      <c r="A1308" s="34"/>
      <c r="B1308" s="34"/>
      <c r="C1308" s="34"/>
      <c r="D1308" s="34"/>
      <c r="E1308" s="34"/>
      <c r="F1308" s="34"/>
      <c r="G1308" s="34"/>
      <c r="H1308" s="34"/>
      <c r="I1308" s="34"/>
      <c r="J1308" s="34"/>
      <c r="L1308" s="48"/>
      <c r="M1308" s="33"/>
      <c r="N1308" s="33"/>
      <c r="O1308" s="33"/>
      <c r="P1308" s="29"/>
      <c r="Q1308" s="36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  <c r="AJ1308" s="33"/>
      <c r="AK1308" s="33"/>
      <c r="AL1308" s="33"/>
      <c r="AM1308" s="33"/>
      <c r="AN1308" s="33"/>
      <c r="AO1308" s="33"/>
      <c r="AP1308" s="33"/>
      <c r="AQ1308" s="33"/>
      <c r="AR1308" s="33"/>
      <c r="AS1308" s="33"/>
      <c r="AT1308" s="33"/>
      <c r="AU1308" s="33"/>
      <c r="AV1308" s="33"/>
      <c r="AW1308" s="33"/>
      <c r="AX1308" s="33"/>
    </row>
    <row r="1309" spans="1:50" ht="12">
      <c r="A1309" s="34"/>
      <c r="B1309" s="34"/>
      <c r="C1309" s="34"/>
      <c r="D1309" s="34"/>
      <c r="E1309" s="34"/>
      <c r="F1309" s="34"/>
      <c r="G1309" s="34"/>
      <c r="H1309" s="34"/>
      <c r="I1309" s="34"/>
      <c r="J1309" s="34"/>
      <c r="L1309" s="48"/>
      <c r="M1309" s="33"/>
      <c r="N1309" s="33"/>
      <c r="O1309" s="33"/>
      <c r="P1309" s="29"/>
      <c r="Q1309" s="36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  <c r="AJ1309" s="33"/>
      <c r="AK1309" s="33"/>
      <c r="AL1309" s="33"/>
      <c r="AM1309" s="33"/>
      <c r="AN1309" s="33"/>
      <c r="AO1309" s="33"/>
      <c r="AP1309" s="33"/>
      <c r="AQ1309" s="33"/>
      <c r="AR1309" s="33"/>
      <c r="AS1309" s="33"/>
      <c r="AT1309" s="33"/>
      <c r="AU1309" s="33"/>
      <c r="AV1309" s="33"/>
      <c r="AW1309" s="33"/>
      <c r="AX1309" s="33"/>
    </row>
    <row r="1310" spans="1:50" ht="12">
      <c r="A1310" s="34"/>
      <c r="B1310" s="34"/>
      <c r="C1310" s="34"/>
      <c r="D1310" s="34"/>
      <c r="E1310" s="34"/>
      <c r="F1310" s="34"/>
      <c r="G1310" s="34"/>
      <c r="H1310" s="34"/>
      <c r="I1310" s="34"/>
      <c r="J1310" s="34"/>
      <c r="L1310" s="48"/>
      <c r="M1310" s="33"/>
      <c r="N1310" s="33"/>
      <c r="O1310" s="33"/>
      <c r="P1310" s="29"/>
      <c r="Q1310" s="36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  <c r="AJ1310" s="33"/>
      <c r="AK1310" s="33"/>
      <c r="AL1310" s="33"/>
      <c r="AM1310" s="33"/>
      <c r="AN1310" s="33"/>
      <c r="AO1310" s="33"/>
      <c r="AP1310" s="33"/>
      <c r="AQ1310" s="33"/>
      <c r="AR1310" s="33"/>
      <c r="AS1310" s="33"/>
      <c r="AT1310" s="33"/>
      <c r="AU1310" s="33"/>
      <c r="AV1310" s="33"/>
      <c r="AW1310" s="33"/>
      <c r="AX1310" s="33"/>
    </row>
    <row r="1311" spans="1:50" ht="12">
      <c r="A1311" s="34"/>
      <c r="B1311" s="34"/>
      <c r="C1311" s="34"/>
      <c r="D1311" s="34"/>
      <c r="E1311" s="34"/>
      <c r="F1311" s="34"/>
      <c r="G1311" s="34"/>
      <c r="H1311" s="34"/>
      <c r="I1311" s="34"/>
      <c r="J1311" s="34"/>
      <c r="L1311" s="48"/>
      <c r="M1311" s="33"/>
      <c r="N1311" s="33"/>
      <c r="O1311" s="33"/>
      <c r="P1311" s="29"/>
      <c r="Q1311" s="36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  <c r="AJ1311" s="33"/>
      <c r="AK1311" s="33"/>
      <c r="AL1311" s="33"/>
      <c r="AM1311" s="33"/>
      <c r="AN1311" s="33"/>
      <c r="AO1311" s="33"/>
      <c r="AP1311" s="33"/>
      <c r="AQ1311" s="33"/>
      <c r="AR1311" s="33"/>
      <c r="AS1311" s="33"/>
      <c r="AT1311" s="33"/>
      <c r="AU1311" s="33"/>
      <c r="AV1311" s="33"/>
      <c r="AW1311" s="33"/>
      <c r="AX1311" s="33"/>
    </row>
    <row r="1312" spans="1:50" ht="12">
      <c r="A1312" s="34"/>
      <c r="B1312" s="34"/>
      <c r="C1312" s="34"/>
      <c r="D1312" s="34"/>
      <c r="E1312" s="34"/>
      <c r="F1312" s="34"/>
      <c r="G1312" s="34"/>
      <c r="H1312" s="34"/>
      <c r="I1312" s="34"/>
      <c r="J1312" s="34"/>
      <c r="L1312" s="48"/>
      <c r="M1312" s="33"/>
      <c r="N1312" s="33"/>
      <c r="O1312" s="33"/>
      <c r="P1312" s="29"/>
      <c r="Q1312" s="36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  <c r="AJ1312" s="33"/>
      <c r="AK1312" s="33"/>
      <c r="AL1312" s="33"/>
      <c r="AM1312" s="33"/>
      <c r="AN1312" s="33"/>
      <c r="AO1312" s="33"/>
      <c r="AP1312" s="33"/>
      <c r="AQ1312" s="33"/>
      <c r="AR1312" s="33"/>
      <c r="AS1312" s="33"/>
      <c r="AT1312" s="33"/>
      <c r="AU1312" s="33"/>
      <c r="AV1312" s="33"/>
      <c r="AW1312" s="33"/>
      <c r="AX1312" s="33"/>
    </row>
    <row r="1313" spans="1:50" ht="12">
      <c r="A1313" s="34"/>
      <c r="B1313" s="34"/>
      <c r="C1313" s="34"/>
      <c r="D1313" s="34"/>
      <c r="E1313" s="34"/>
      <c r="F1313" s="34"/>
      <c r="G1313" s="34"/>
      <c r="H1313" s="34"/>
      <c r="I1313" s="34"/>
      <c r="J1313" s="34"/>
      <c r="L1313" s="48"/>
      <c r="M1313" s="33"/>
      <c r="N1313" s="33"/>
      <c r="O1313" s="33"/>
      <c r="P1313" s="29"/>
      <c r="Q1313" s="36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  <c r="AJ1313" s="33"/>
      <c r="AK1313" s="33"/>
      <c r="AL1313" s="33"/>
      <c r="AM1313" s="33"/>
      <c r="AN1313" s="33"/>
      <c r="AO1313" s="33"/>
      <c r="AP1313" s="33"/>
      <c r="AQ1313" s="33"/>
      <c r="AR1313" s="33"/>
      <c r="AS1313" s="33"/>
      <c r="AT1313" s="33"/>
      <c r="AU1313" s="33"/>
      <c r="AV1313" s="33"/>
      <c r="AW1313" s="33"/>
      <c r="AX1313" s="33"/>
    </row>
    <row r="1314" spans="1:50" ht="12">
      <c r="A1314" s="34"/>
      <c r="B1314" s="34"/>
      <c r="C1314" s="34"/>
      <c r="D1314" s="34"/>
      <c r="E1314" s="34"/>
      <c r="F1314" s="34"/>
      <c r="G1314" s="34"/>
      <c r="H1314" s="34"/>
      <c r="I1314" s="34"/>
      <c r="J1314" s="34"/>
      <c r="L1314" s="48"/>
      <c r="M1314" s="33"/>
      <c r="N1314" s="33"/>
      <c r="O1314" s="33"/>
      <c r="P1314" s="29"/>
      <c r="Q1314" s="36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  <c r="AJ1314" s="33"/>
      <c r="AK1314" s="33"/>
      <c r="AL1314" s="33"/>
      <c r="AM1314" s="33"/>
      <c r="AN1314" s="33"/>
      <c r="AO1314" s="33"/>
      <c r="AP1314" s="33"/>
      <c r="AQ1314" s="33"/>
      <c r="AR1314" s="33"/>
      <c r="AS1314" s="33"/>
      <c r="AT1314" s="33"/>
      <c r="AU1314" s="33"/>
      <c r="AV1314" s="33"/>
      <c r="AW1314" s="33"/>
      <c r="AX1314" s="33"/>
    </row>
    <row r="1315" spans="1:50" ht="12">
      <c r="A1315" s="34"/>
      <c r="B1315" s="34"/>
      <c r="C1315" s="34"/>
      <c r="D1315" s="34"/>
      <c r="E1315" s="34"/>
      <c r="F1315" s="34"/>
      <c r="G1315" s="34"/>
      <c r="H1315" s="34"/>
      <c r="I1315" s="34"/>
      <c r="J1315" s="34"/>
      <c r="L1315" s="48"/>
      <c r="M1315" s="33"/>
      <c r="N1315" s="33"/>
      <c r="O1315" s="33"/>
      <c r="P1315" s="29"/>
      <c r="Q1315" s="36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  <c r="AJ1315" s="33"/>
      <c r="AK1315" s="33"/>
      <c r="AL1315" s="33"/>
      <c r="AM1315" s="33"/>
      <c r="AN1315" s="33"/>
      <c r="AO1315" s="33"/>
      <c r="AP1315" s="33"/>
      <c r="AQ1315" s="33"/>
      <c r="AR1315" s="33"/>
      <c r="AS1315" s="33"/>
      <c r="AT1315" s="33"/>
      <c r="AU1315" s="33"/>
      <c r="AV1315" s="33"/>
      <c r="AW1315" s="33"/>
      <c r="AX1315" s="33"/>
    </row>
    <row r="1316" spans="1:50" ht="12">
      <c r="A1316" s="34"/>
      <c r="B1316" s="34"/>
      <c r="C1316" s="34"/>
      <c r="D1316" s="34"/>
      <c r="E1316" s="34"/>
      <c r="F1316" s="34"/>
      <c r="G1316" s="34"/>
      <c r="H1316" s="34"/>
      <c r="I1316" s="34"/>
      <c r="J1316" s="34"/>
      <c r="L1316" s="48"/>
      <c r="M1316" s="33"/>
      <c r="N1316" s="33"/>
      <c r="O1316" s="33"/>
      <c r="P1316" s="29"/>
      <c r="Q1316" s="36"/>
      <c r="R1316" s="33"/>
      <c r="S1316" s="33"/>
      <c r="T1316" s="33"/>
      <c r="U1316" s="33"/>
      <c r="V1316" s="33"/>
      <c r="W1316" s="33"/>
      <c r="X1316" s="33"/>
      <c r="Y1316" s="33"/>
      <c r="Z1316" s="33"/>
      <c r="AA1316" s="33"/>
      <c r="AB1316" s="33"/>
      <c r="AC1316" s="33"/>
      <c r="AD1316" s="33"/>
      <c r="AE1316" s="33"/>
      <c r="AF1316" s="33"/>
      <c r="AG1316" s="33"/>
      <c r="AH1316" s="33"/>
      <c r="AI1316" s="33"/>
      <c r="AJ1316" s="33"/>
      <c r="AK1316" s="33"/>
      <c r="AL1316" s="33"/>
      <c r="AM1316" s="33"/>
      <c r="AN1316" s="33"/>
      <c r="AO1316" s="33"/>
      <c r="AP1316" s="33"/>
      <c r="AQ1316" s="33"/>
      <c r="AR1316" s="33"/>
      <c r="AS1316" s="33"/>
      <c r="AT1316" s="33"/>
      <c r="AU1316" s="33"/>
      <c r="AV1316" s="33"/>
      <c r="AW1316" s="33"/>
      <c r="AX1316" s="33"/>
    </row>
    <row r="1317" spans="1:50" ht="12">
      <c r="A1317" s="34"/>
      <c r="B1317" s="34"/>
      <c r="C1317" s="34"/>
      <c r="D1317" s="34"/>
      <c r="E1317" s="34"/>
      <c r="F1317" s="34"/>
      <c r="G1317" s="34"/>
      <c r="H1317" s="34"/>
      <c r="I1317" s="34"/>
      <c r="J1317" s="34"/>
      <c r="L1317" s="48"/>
      <c r="M1317" s="33"/>
      <c r="N1317" s="33"/>
      <c r="O1317" s="33"/>
      <c r="P1317" s="29"/>
      <c r="Q1317" s="36"/>
      <c r="R1317" s="33"/>
      <c r="S1317" s="33"/>
      <c r="T1317" s="33"/>
      <c r="U1317" s="33"/>
      <c r="V1317" s="33"/>
      <c r="W1317" s="33"/>
      <c r="X1317" s="33"/>
      <c r="Y1317" s="33"/>
      <c r="Z1317" s="33"/>
      <c r="AA1317" s="33"/>
      <c r="AB1317" s="33"/>
      <c r="AC1317" s="33"/>
      <c r="AD1317" s="33"/>
      <c r="AE1317" s="33"/>
      <c r="AF1317" s="33"/>
      <c r="AG1317" s="33"/>
      <c r="AH1317" s="33"/>
      <c r="AI1317" s="33"/>
      <c r="AJ1317" s="33"/>
      <c r="AK1317" s="33"/>
      <c r="AL1317" s="33"/>
      <c r="AM1317" s="33"/>
      <c r="AN1317" s="33"/>
      <c r="AO1317" s="33"/>
      <c r="AP1317" s="33"/>
      <c r="AQ1317" s="33"/>
      <c r="AR1317" s="33"/>
      <c r="AS1317" s="33"/>
      <c r="AT1317" s="33"/>
      <c r="AU1317" s="33"/>
      <c r="AV1317" s="33"/>
      <c r="AW1317" s="33"/>
      <c r="AX1317" s="33"/>
    </row>
    <row r="1318" spans="1:50" ht="12">
      <c r="A1318" s="34"/>
      <c r="B1318" s="34"/>
      <c r="C1318" s="34"/>
      <c r="D1318" s="34"/>
      <c r="E1318" s="34"/>
      <c r="F1318" s="34"/>
      <c r="G1318" s="34"/>
      <c r="H1318" s="34"/>
      <c r="I1318" s="34"/>
      <c r="J1318" s="34"/>
      <c r="L1318" s="48"/>
      <c r="M1318" s="33"/>
      <c r="N1318" s="33"/>
      <c r="O1318" s="33"/>
      <c r="P1318" s="29"/>
      <c r="Q1318" s="36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  <c r="AJ1318" s="33"/>
      <c r="AK1318" s="33"/>
      <c r="AL1318" s="33"/>
      <c r="AM1318" s="33"/>
      <c r="AN1318" s="33"/>
      <c r="AO1318" s="33"/>
      <c r="AP1318" s="33"/>
      <c r="AQ1318" s="33"/>
      <c r="AR1318" s="33"/>
      <c r="AS1318" s="33"/>
      <c r="AT1318" s="33"/>
      <c r="AU1318" s="33"/>
      <c r="AV1318" s="33"/>
      <c r="AW1318" s="33"/>
      <c r="AX1318" s="33"/>
    </row>
    <row r="1319" spans="1:50" ht="12">
      <c r="A1319" s="34"/>
      <c r="B1319" s="34"/>
      <c r="C1319" s="34"/>
      <c r="D1319" s="34"/>
      <c r="E1319" s="34"/>
      <c r="F1319" s="34"/>
      <c r="G1319" s="34"/>
      <c r="H1319" s="34"/>
      <c r="I1319" s="34"/>
      <c r="J1319" s="34"/>
      <c r="L1319" s="48"/>
      <c r="M1319" s="33"/>
      <c r="N1319" s="33"/>
      <c r="O1319" s="33"/>
      <c r="P1319" s="29"/>
      <c r="Q1319" s="36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  <c r="AJ1319" s="33"/>
      <c r="AK1319" s="33"/>
      <c r="AL1319" s="33"/>
      <c r="AM1319" s="33"/>
      <c r="AN1319" s="33"/>
      <c r="AO1319" s="33"/>
      <c r="AP1319" s="33"/>
      <c r="AQ1319" s="33"/>
      <c r="AR1319" s="33"/>
      <c r="AS1319" s="33"/>
      <c r="AT1319" s="33"/>
      <c r="AU1319" s="33"/>
      <c r="AV1319" s="33"/>
      <c r="AW1319" s="33"/>
      <c r="AX1319" s="33"/>
    </row>
    <row r="1320" spans="1:50" ht="12">
      <c r="A1320" s="34"/>
      <c r="B1320" s="34"/>
      <c r="C1320" s="34"/>
      <c r="D1320" s="34"/>
      <c r="E1320" s="34"/>
      <c r="F1320" s="34"/>
      <c r="G1320" s="34"/>
      <c r="H1320" s="34"/>
      <c r="I1320" s="34"/>
      <c r="J1320" s="34"/>
      <c r="L1320" s="48"/>
      <c r="M1320" s="33"/>
      <c r="N1320" s="33"/>
      <c r="O1320" s="33"/>
      <c r="P1320" s="29"/>
      <c r="Q1320" s="36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  <c r="AJ1320" s="33"/>
      <c r="AK1320" s="33"/>
      <c r="AL1320" s="33"/>
      <c r="AM1320" s="33"/>
      <c r="AN1320" s="33"/>
      <c r="AO1320" s="33"/>
      <c r="AP1320" s="33"/>
      <c r="AQ1320" s="33"/>
      <c r="AR1320" s="33"/>
      <c r="AS1320" s="33"/>
      <c r="AT1320" s="33"/>
      <c r="AU1320" s="33"/>
      <c r="AV1320" s="33"/>
      <c r="AW1320" s="33"/>
      <c r="AX1320" s="33"/>
    </row>
    <row r="1321" spans="1:50" ht="12">
      <c r="A1321" s="34"/>
      <c r="B1321" s="34"/>
      <c r="C1321" s="34"/>
      <c r="D1321" s="34"/>
      <c r="E1321" s="34"/>
      <c r="F1321" s="34"/>
      <c r="G1321" s="34"/>
      <c r="H1321" s="34"/>
      <c r="I1321" s="34"/>
      <c r="J1321" s="34"/>
      <c r="L1321" s="48"/>
      <c r="M1321" s="33"/>
      <c r="N1321" s="33"/>
      <c r="O1321" s="33"/>
      <c r="P1321" s="29"/>
      <c r="Q1321" s="36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  <c r="AJ1321" s="33"/>
      <c r="AK1321" s="33"/>
      <c r="AL1321" s="33"/>
      <c r="AM1321" s="33"/>
      <c r="AN1321" s="33"/>
      <c r="AO1321" s="33"/>
      <c r="AP1321" s="33"/>
      <c r="AQ1321" s="33"/>
      <c r="AR1321" s="33"/>
      <c r="AS1321" s="33"/>
      <c r="AT1321" s="33"/>
      <c r="AU1321" s="33"/>
      <c r="AV1321" s="33"/>
      <c r="AW1321" s="33"/>
      <c r="AX1321" s="33"/>
    </row>
    <row r="1322" spans="1:50" ht="12">
      <c r="A1322" s="34"/>
      <c r="B1322" s="34"/>
      <c r="C1322" s="34"/>
      <c r="D1322" s="34"/>
      <c r="E1322" s="34"/>
      <c r="F1322" s="34"/>
      <c r="G1322" s="34"/>
      <c r="H1322" s="34"/>
      <c r="I1322" s="34"/>
      <c r="J1322" s="34"/>
      <c r="L1322" s="48"/>
      <c r="M1322" s="33"/>
      <c r="N1322" s="33"/>
      <c r="O1322" s="33"/>
      <c r="P1322" s="29"/>
      <c r="Q1322" s="36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  <c r="AJ1322" s="33"/>
      <c r="AK1322" s="33"/>
      <c r="AL1322" s="33"/>
      <c r="AM1322" s="33"/>
      <c r="AN1322" s="33"/>
      <c r="AO1322" s="33"/>
      <c r="AP1322" s="33"/>
      <c r="AQ1322" s="33"/>
      <c r="AR1322" s="33"/>
      <c r="AS1322" s="33"/>
      <c r="AT1322" s="33"/>
      <c r="AU1322" s="33"/>
      <c r="AV1322" s="33"/>
      <c r="AW1322" s="33"/>
      <c r="AX1322" s="33"/>
    </row>
    <row r="1323" spans="1:50" ht="12">
      <c r="A1323" s="34"/>
      <c r="B1323" s="34"/>
      <c r="C1323" s="34"/>
      <c r="D1323" s="34"/>
      <c r="E1323" s="34"/>
      <c r="F1323" s="34"/>
      <c r="G1323" s="34"/>
      <c r="H1323" s="34"/>
      <c r="I1323" s="34"/>
      <c r="J1323" s="34"/>
      <c r="L1323" s="48"/>
      <c r="M1323" s="33"/>
      <c r="N1323" s="33"/>
      <c r="O1323" s="33"/>
      <c r="P1323" s="29"/>
      <c r="Q1323" s="36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  <c r="AJ1323" s="33"/>
      <c r="AK1323" s="33"/>
      <c r="AL1323" s="33"/>
      <c r="AM1323" s="33"/>
      <c r="AN1323" s="33"/>
      <c r="AO1323" s="33"/>
      <c r="AP1323" s="33"/>
      <c r="AQ1323" s="33"/>
      <c r="AR1323" s="33"/>
      <c r="AS1323" s="33"/>
      <c r="AT1323" s="33"/>
      <c r="AU1323" s="33"/>
      <c r="AV1323" s="33"/>
      <c r="AW1323" s="33"/>
      <c r="AX1323" s="33"/>
    </row>
    <row r="1324" spans="1:50" ht="12">
      <c r="A1324" s="34"/>
      <c r="B1324" s="34"/>
      <c r="C1324" s="34"/>
      <c r="D1324" s="34"/>
      <c r="E1324" s="34"/>
      <c r="F1324" s="34"/>
      <c r="G1324" s="34"/>
      <c r="H1324" s="34"/>
      <c r="I1324" s="34"/>
      <c r="J1324" s="34"/>
      <c r="L1324" s="48"/>
      <c r="M1324" s="33"/>
      <c r="N1324" s="33"/>
      <c r="O1324" s="33"/>
      <c r="P1324" s="29"/>
      <c r="Q1324" s="36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  <c r="AJ1324" s="33"/>
      <c r="AK1324" s="33"/>
      <c r="AL1324" s="33"/>
      <c r="AM1324" s="33"/>
      <c r="AN1324" s="33"/>
      <c r="AO1324" s="33"/>
      <c r="AP1324" s="33"/>
      <c r="AQ1324" s="33"/>
      <c r="AR1324" s="33"/>
      <c r="AS1324" s="33"/>
      <c r="AT1324" s="33"/>
      <c r="AU1324" s="33"/>
      <c r="AV1324" s="33"/>
      <c r="AW1324" s="33"/>
      <c r="AX1324" s="33"/>
    </row>
    <row r="1325" spans="1:50" ht="12">
      <c r="A1325" s="34"/>
      <c r="B1325" s="34"/>
      <c r="C1325" s="34"/>
      <c r="D1325" s="34"/>
      <c r="E1325" s="34"/>
      <c r="F1325" s="34"/>
      <c r="G1325" s="34"/>
      <c r="H1325" s="34"/>
      <c r="I1325" s="34"/>
      <c r="J1325" s="34"/>
      <c r="L1325" s="48"/>
      <c r="M1325" s="33"/>
      <c r="N1325" s="33"/>
      <c r="O1325" s="33"/>
      <c r="P1325" s="29"/>
      <c r="Q1325" s="36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  <c r="AJ1325" s="33"/>
      <c r="AK1325" s="33"/>
      <c r="AL1325" s="33"/>
      <c r="AM1325" s="33"/>
      <c r="AN1325" s="33"/>
      <c r="AO1325" s="33"/>
      <c r="AP1325" s="33"/>
      <c r="AQ1325" s="33"/>
      <c r="AR1325" s="33"/>
      <c r="AS1325" s="33"/>
      <c r="AT1325" s="33"/>
      <c r="AU1325" s="33"/>
      <c r="AV1325" s="33"/>
      <c r="AW1325" s="33"/>
      <c r="AX1325" s="33"/>
    </row>
    <row r="1326" spans="1:50" ht="12">
      <c r="A1326" s="34"/>
      <c r="B1326" s="34"/>
      <c r="C1326" s="34"/>
      <c r="D1326" s="34"/>
      <c r="E1326" s="34"/>
      <c r="F1326" s="34"/>
      <c r="G1326" s="34"/>
      <c r="H1326" s="34"/>
      <c r="I1326" s="34"/>
      <c r="J1326" s="34"/>
      <c r="L1326" s="48"/>
      <c r="M1326" s="33"/>
      <c r="N1326" s="33"/>
      <c r="O1326" s="33"/>
      <c r="P1326" s="29"/>
      <c r="Q1326" s="36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  <c r="AJ1326" s="33"/>
      <c r="AK1326" s="33"/>
      <c r="AL1326" s="33"/>
      <c r="AM1326" s="33"/>
      <c r="AN1326" s="33"/>
      <c r="AO1326" s="33"/>
      <c r="AP1326" s="33"/>
      <c r="AQ1326" s="33"/>
      <c r="AR1326" s="33"/>
      <c r="AS1326" s="33"/>
      <c r="AT1326" s="33"/>
      <c r="AU1326" s="33"/>
      <c r="AV1326" s="33"/>
      <c r="AW1326" s="33"/>
      <c r="AX1326" s="33"/>
    </row>
    <row r="1327" spans="1:50" ht="12">
      <c r="A1327" s="34"/>
      <c r="B1327" s="34"/>
      <c r="C1327" s="34"/>
      <c r="D1327" s="34"/>
      <c r="E1327" s="34"/>
      <c r="F1327" s="34"/>
      <c r="G1327" s="34"/>
      <c r="H1327" s="34"/>
      <c r="I1327" s="34"/>
      <c r="J1327" s="34"/>
      <c r="L1327" s="48"/>
      <c r="M1327" s="33"/>
      <c r="N1327" s="33"/>
      <c r="O1327" s="33"/>
      <c r="P1327" s="29"/>
      <c r="Q1327" s="36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  <c r="AJ1327" s="33"/>
      <c r="AK1327" s="33"/>
      <c r="AL1327" s="33"/>
      <c r="AM1327" s="33"/>
      <c r="AN1327" s="33"/>
      <c r="AO1327" s="33"/>
      <c r="AP1327" s="33"/>
      <c r="AQ1327" s="33"/>
      <c r="AR1327" s="33"/>
      <c r="AS1327" s="33"/>
      <c r="AT1327" s="33"/>
      <c r="AU1327" s="33"/>
      <c r="AV1327" s="33"/>
      <c r="AW1327" s="33"/>
      <c r="AX1327" s="33"/>
    </row>
    <row r="1328" spans="1:50" ht="12">
      <c r="A1328" s="34"/>
      <c r="B1328" s="34"/>
      <c r="C1328" s="34"/>
      <c r="D1328" s="34"/>
      <c r="E1328" s="34"/>
      <c r="F1328" s="34"/>
      <c r="G1328" s="34"/>
      <c r="H1328" s="34"/>
      <c r="I1328" s="34"/>
      <c r="J1328" s="34"/>
      <c r="L1328" s="48"/>
      <c r="M1328" s="33"/>
      <c r="N1328" s="33"/>
      <c r="O1328" s="33"/>
      <c r="P1328" s="29"/>
      <c r="Q1328" s="36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  <c r="AJ1328" s="33"/>
      <c r="AK1328" s="33"/>
      <c r="AL1328" s="33"/>
      <c r="AM1328" s="33"/>
      <c r="AN1328" s="33"/>
      <c r="AO1328" s="33"/>
      <c r="AP1328" s="33"/>
      <c r="AQ1328" s="33"/>
      <c r="AR1328" s="33"/>
      <c r="AS1328" s="33"/>
      <c r="AT1328" s="33"/>
      <c r="AU1328" s="33"/>
      <c r="AV1328" s="33"/>
      <c r="AW1328" s="33"/>
      <c r="AX1328" s="33"/>
    </row>
    <row r="1329" spans="1:50" ht="12">
      <c r="A1329" s="34"/>
      <c r="B1329" s="34"/>
      <c r="C1329" s="34"/>
      <c r="D1329" s="34"/>
      <c r="E1329" s="34"/>
      <c r="F1329" s="34"/>
      <c r="G1329" s="34"/>
      <c r="H1329" s="34"/>
      <c r="I1329" s="34"/>
      <c r="J1329" s="34"/>
      <c r="L1329" s="48"/>
      <c r="M1329" s="33"/>
      <c r="N1329" s="33"/>
      <c r="O1329" s="33"/>
      <c r="P1329" s="29"/>
      <c r="Q1329" s="36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  <c r="AJ1329" s="33"/>
      <c r="AK1329" s="33"/>
      <c r="AL1329" s="33"/>
      <c r="AM1329" s="33"/>
      <c r="AN1329" s="33"/>
      <c r="AO1329" s="33"/>
      <c r="AP1329" s="33"/>
      <c r="AQ1329" s="33"/>
      <c r="AR1329" s="33"/>
      <c r="AS1329" s="33"/>
      <c r="AT1329" s="33"/>
      <c r="AU1329" s="33"/>
      <c r="AV1329" s="33"/>
      <c r="AW1329" s="33"/>
      <c r="AX1329" s="33"/>
    </row>
  </sheetData>
  <sheetProtection/>
  <printOptions/>
  <pageMargins left="0.75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Kamal</dc:creator>
  <cp:keywords/>
  <dc:description/>
  <cp:lastModifiedBy>Peter R. Johnson</cp:lastModifiedBy>
  <cp:lastPrinted>2010-02-17T22:44:20Z</cp:lastPrinted>
  <dcterms:created xsi:type="dcterms:W3CDTF">2009-09-27T23:32:45Z</dcterms:created>
  <dcterms:modified xsi:type="dcterms:W3CDTF">2010-02-17T22:44:22Z</dcterms:modified>
  <cp:category/>
  <cp:version/>
  <cp:contentType/>
  <cp:contentStatus/>
</cp:coreProperties>
</file>