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15" windowWidth="10725" windowHeight="8295" tabRatio="626" activeTab="2"/>
  </bookViews>
  <sheets>
    <sheet name="Summary" sheetId="1" r:id="rId1"/>
    <sheet name="ET" sheetId="2" r:id="rId2"/>
    <sheet name="Input" sheetId="3" r:id="rId3"/>
    <sheet name="PSO vs Dist" sheetId="4" r:id="rId4"/>
    <sheet name="Thermal" sheetId="5" r:id="rId5"/>
    <sheet name="Reactors" sheetId="6" r:id="rId6"/>
    <sheet name="FS" sheetId="7" r:id="rId7"/>
    <sheet name="Plan" sheetId="8" r:id="rId8"/>
    <sheet name="IRI" sheetId="9" r:id="rId9"/>
  </sheets>
  <definedNames>
    <definedName name="A_Example_Calc">'Input'!$A$316:$G$540</definedName>
    <definedName name="Area_BLEVE">'Input'!$A$58:$G$115</definedName>
    <definedName name="Area_Clancey_Gugan">'Input'!$A$117:$F$159</definedName>
    <definedName name="Area_Fireball">'Input'!$A$245:$F$296</definedName>
    <definedName name="Area_Input">'Input'!$A$1:$F$57</definedName>
    <definedName name="Area_Therm_Escape">'Input'!$A$315:$H$315</definedName>
    <definedName name="Butane_Sphere">'Input'!$E$185:$E$210</definedName>
    <definedName name="Code">'IRI'!$B$61:$T$73</definedName>
    <definedName name="Damage_Factors">'Input'!#REF!</definedName>
    <definedName name="DATABASE">'Input'!$A$185:$F$201</definedName>
    <definedName name="Event_Tree">'ET'!$A$1:$H$58</definedName>
    <definedName name="Event_Tree_Data">'ET'!$A$47:$H$76</definedName>
    <definedName name="Input_Stg_Area">'Input'!$A$185:$F$201</definedName>
    <definedName name="List_Of_Chemicals">'Input'!$A$212:$F$236</definedName>
    <definedName name="_xlnm.Print_Area" localSheetId="1">'ET'!$A$1:$H$58</definedName>
    <definedName name="_xlnm.Print_Area" localSheetId="2">'Input'!$A$1:$F$57</definedName>
    <definedName name="_xlnm.Print_Area" localSheetId="8">'IRI'!$A$1:$AA$73</definedName>
    <definedName name="_xlnm.Print_Area" localSheetId="0">'Summary'!$A$1:$G$55</definedName>
    <definedName name="Propane_Sphere">'Input'!$D$185:$D$210</definedName>
    <definedName name="PSIA">'Input'!$B$17</definedName>
    <definedName name="RH">'Input'!$B$18</definedName>
    <definedName name="solver_adj" localSheetId="2" hidden="1">'Input'!$B$71</definedName>
    <definedName name="solver_num" localSheetId="2" hidden="1">0</definedName>
    <definedName name="solver_oldobj" localSheetId="2" hidden="1">39.2000079011308</definedName>
    <definedName name="solver_opt" localSheetId="2" hidden="1">'Input'!$B$80</definedName>
    <definedName name="solver_typ" localSheetId="2" hidden="1">1</definedName>
    <definedName name="solver_val" localSheetId="2" hidden="1">0</definedName>
    <definedName name="SVP">'Input'!$B$75</definedName>
    <definedName name="TA">'Input'!$B$16</definedName>
    <definedName name="Table_Summary">'ET'!$A$80:$G$90</definedName>
    <definedName name="V_666">'Input'!$C$185:$C$210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A satisfied Microsoft Office user</author>
    <author>Dick Hawrelak</author>
  </authors>
  <commentList>
    <comment ref="B62" authorId="0">
      <text>
        <r>
          <rPr>
            <sz val="8"/>
            <rFont val="Tahoma"/>
            <family val="0"/>
          </rPr>
          <t>This rule applies when there is a vessel failure and a massive liquid release takes place. See Roberts, 1982, p-182.</t>
        </r>
      </text>
    </comment>
    <comment ref="D63" authorId="0">
      <text>
        <r>
          <rPr>
            <sz val="8"/>
            <rFont val="Tahoma"/>
            <family val="0"/>
          </rPr>
          <t>DIERS pgm may show that there is no liquid entrainment at this Volume liquid level.</t>
        </r>
      </text>
    </comment>
    <comment ref="B67" authorId="0">
      <text>
        <r>
          <rPr>
            <sz val="8"/>
            <rFont val="Tahoma"/>
            <family val="0"/>
          </rPr>
          <t>CPQRA gives H = 0.75*Dia. However, 0.5* Dia is used by some for more conservative results.</t>
        </r>
      </text>
    </comment>
    <comment ref="B71" authorId="0">
      <text>
        <r>
          <rPr>
            <sz val="8"/>
            <rFont val="Tahoma"/>
            <family val="0"/>
          </rPr>
          <t>Iterate manually till cell B80 = Cell B81. This is Mudan's criteria. Eisenberg's method is given on cell B88. You can iterate till this value is LC50.</t>
        </r>
      </text>
    </comment>
    <comment ref="B92" authorId="0">
      <text>
        <r>
          <rPr>
            <sz val="8"/>
            <rFont val="Tahoma"/>
            <family val="0"/>
          </rPr>
          <t>Check on Thermal chart</t>
        </r>
      </text>
    </comment>
    <comment ref="B93" authorId="0">
      <text>
        <r>
          <rPr>
            <sz val="8"/>
            <rFont val="Tahoma"/>
            <family val="0"/>
          </rPr>
          <t>Was intended to be an approximation for 2nd deg burns. Can check on thermal chart.</t>
        </r>
      </text>
    </comment>
    <comment ref="B98" authorId="0">
      <text>
        <r>
          <rPr>
            <sz val="8"/>
            <rFont val="Tahoma"/>
            <family val="0"/>
          </rPr>
          <t>If relief conditions are above Pc and Tc, use vessel volume as vapor volume and all liquid in vessel is lost.</t>
        </r>
      </text>
    </comment>
    <comment ref="A272" authorId="0">
      <text>
        <r>
          <rPr>
            <sz val="8"/>
            <rFont val="Tahoma"/>
            <family val="0"/>
          </rPr>
          <t>Note Second Degree Burns almost equivalent to UK HSE Max Pain Threshold at 6.3 kW/m2 for 30 sec.</t>
        </r>
      </text>
    </comment>
    <comment ref="B288" authorId="0">
      <text>
        <r>
          <rPr>
            <sz val="8"/>
            <rFont val="Tahoma"/>
            <family val="0"/>
          </rPr>
          <t>Perturb either exposure time or Thermal Flux till this distance equals specified distance in cell B289.</t>
        </r>
      </text>
    </comment>
    <comment ref="B303" authorId="0">
      <text>
        <r>
          <rPr>
            <sz val="8"/>
            <rFont val="Tahoma"/>
            <family val="0"/>
          </rPr>
          <t>1% Fatality By Mudan is almost equivalent to 50% Fatality By Eisenberg Data</t>
        </r>
      </text>
    </comment>
    <comment ref="B80" authorId="1">
      <text>
        <r>
          <rPr>
            <sz val="8"/>
            <rFont val="Tahoma"/>
            <family val="2"/>
          </rPr>
          <t>If rec'd flux does not = LC50 Flux, set Counter at cell B69 to 1 to reset convergence routine. The set Counter to 2.</t>
        </r>
      </text>
    </comment>
    <comment ref="D27" authorId="1">
      <text>
        <r>
          <rPr>
            <sz val="8"/>
            <rFont val="Tahoma"/>
            <family val="2"/>
          </rPr>
          <t>Quantity material in cell B14 perturbed till 40 tonnes flashed to atmos. In cell D27. This is to match HSE stated loss.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  <author>Dick Hawrelak</author>
  </authors>
  <commentList>
    <comment ref="B8" authorId="0">
      <text>
        <r>
          <rPr>
            <sz val="8"/>
            <rFont val="Tahoma"/>
            <family val="0"/>
          </rPr>
          <t>a = Windows and guages break.</t>
        </r>
      </text>
    </comment>
    <comment ref="C8" authorId="0">
      <text>
        <r>
          <rPr>
            <sz val="8"/>
            <rFont val="Tahoma"/>
            <family val="0"/>
          </rPr>
          <t>c = Switch gear is damaged from roof collapse.</t>
        </r>
      </text>
    </comment>
    <comment ref="D8" authorId="0">
      <text>
        <r>
          <rPr>
            <sz val="8"/>
            <rFont val="Tahoma"/>
            <family val="0"/>
          </rPr>
          <t>d = Roof collapses.</t>
        </r>
      </text>
    </comment>
    <comment ref="H8" authorId="0">
      <text>
        <r>
          <rPr>
            <sz val="8"/>
            <rFont val="Tahoma"/>
            <family val="0"/>
          </rPr>
          <t>n = Block walls fail.</t>
        </r>
      </text>
    </comment>
    <comment ref="B10" authorId="0">
      <text>
        <r>
          <rPr>
            <sz val="8"/>
            <rFont val="Tahoma"/>
            <family val="0"/>
          </rPr>
          <t>a = Windows and guages break.</t>
        </r>
      </text>
    </comment>
    <comment ref="C10" authorId="0">
      <text>
        <r>
          <rPr>
            <sz val="8"/>
            <rFont val="Tahoma"/>
            <family val="0"/>
          </rPr>
          <t>e = Instruments are damaged.</t>
        </r>
      </text>
    </comment>
    <comment ref="D10" authorId="0">
      <text>
        <r>
          <rPr>
            <sz val="8"/>
            <rFont val="Tahoma"/>
            <family val="0"/>
          </rPr>
          <t>p = frame deforms</t>
        </r>
      </text>
    </comment>
    <comment ref="E10" authorId="0">
      <text>
        <r>
          <rPr>
            <sz val="8"/>
            <rFont val="Tahoma"/>
            <family val="0"/>
          </rPr>
          <t>d = Roof collapses.</t>
        </r>
      </text>
    </comment>
    <comment ref="H10" authorId="0">
      <text>
        <r>
          <rPr>
            <sz val="8"/>
            <rFont val="Tahoma"/>
            <family val="0"/>
          </rPr>
          <t>n = Block walls fail.</t>
        </r>
      </text>
    </comment>
    <comment ref="B12" authorId="0">
      <text>
        <r>
          <rPr>
            <sz val="8"/>
            <rFont val="Tahoma"/>
            <family val="0"/>
          </rPr>
          <t>b = Louvers fall at 0.3 to 0.5 psig</t>
        </r>
      </text>
    </comment>
    <comment ref="E12" authorId="0">
      <text>
        <r>
          <rPr>
            <sz val="8"/>
            <rFont val="Tahoma"/>
            <family val="0"/>
          </rPr>
          <t>f = Inner parts are damaged.</t>
        </r>
      </text>
    </comment>
    <comment ref="H12" authorId="0">
      <text>
        <r>
          <rPr>
            <sz val="8"/>
            <rFont val="Tahoma"/>
            <family val="0"/>
          </rPr>
          <t>o = Frame collapses.</t>
        </r>
      </text>
    </comment>
    <comment ref="C14" authorId="0">
      <text>
        <r>
          <rPr>
            <sz val="8"/>
            <rFont val="Tahoma"/>
            <family val="0"/>
          </rPr>
          <t>d = Roof collapses.</t>
        </r>
      </text>
    </comment>
    <comment ref="G14" authorId="0">
      <text>
        <r>
          <rPr>
            <sz val="8"/>
            <rFont val="Tahoma"/>
            <family val="0"/>
          </rPr>
          <t>k = Unit uplifts (half filled).</t>
        </r>
      </text>
    </comment>
    <comment ref="N14" authorId="0">
      <text>
        <r>
          <rPr>
            <sz val="8"/>
            <rFont val="Tahoma"/>
            <family val="0"/>
          </rPr>
          <t>u = Unit uplifts (90% filled).</t>
        </r>
      </text>
    </comment>
    <comment ref="D16" authorId="0">
      <text>
        <r>
          <rPr>
            <sz val="8"/>
            <rFont val="Tahoma"/>
            <family val="0"/>
          </rPr>
          <t>a = Windows and guages break.</t>
        </r>
      </text>
    </comment>
    <comment ref="G16" authorId="0">
      <text>
        <r>
          <rPr>
            <sz val="8"/>
            <rFont val="Tahoma"/>
            <family val="0"/>
          </rPr>
          <t>l = Power lines are severed. 
m = Controls are damaged.</t>
        </r>
      </text>
    </comment>
    <comment ref="M16" authorId="0">
      <text>
        <r>
          <rPr>
            <sz val="8"/>
            <rFont val="Tahoma"/>
            <family val="0"/>
          </rPr>
          <t>t = Unit overturns or is destroyed.</t>
        </r>
      </text>
    </comment>
    <comment ref="E18" authorId="0">
      <text>
        <r>
          <rPr>
            <sz val="8"/>
            <rFont val="Tahoma"/>
            <family val="0"/>
          </rPr>
          <t>g = Brick Cracks,</t>
        </r>
      </text>
    </comment>
    <comment ref="F18" authorId="0">
      <text>
        <r>
          <rPr>
            <sz val="8"/>
            <rFont val="Tahoma"/>
            <family val="0"/>
          </rPr>
          <t>i = Unit moves and pipe breaks.</t>
        </r>
      </text>
    </comment>
    <comment ref="K18" authorId="0">
      <text>
        <r>
          <rPr>
            <sz val="8"/>
            <rFont val="Tahoma"/>
            <family val="0"/>
          </rPr>
          <t>t = Unit overturns or is destroyed.</t>
        </r>
      </text>
    </comment>
    <comment ref="E20" authorId="0">
      <text>
        <r>
          <rPr>
            <sz val="8"/>
            <rFont val="Tahoma"/>
            <family val="0"/>
          </rPr>
          <t>a = Windows and guages break.</t>
        </r>
      </text>
    </comment>
    <comment ref="I20" authorId="0">
      <text>
        <r>
          <rPr>
            <sz val="8"/>
            <rFont val="Tahoma"/>
            <family val="0"/>
          </rPr>
          <t>i = Unit moves and pipe breaks.</t>
        </r>
      </text>
    </comment>
    <comment ref="N20" authorId="0">
      <text>
        <r>
          <rPr>
            <sz val="8"/>
            <rFont val="Tahoma"/>
            <family val="0"/>
          </rPr>
          <t>p = Frame deforms.                 i = Unit moves and pipe breaks.</t>
        </r>
      </text>
    </comment>
    <comment ref="S20" authorId="0">
      <text>
        <r>
          <rPr>
            <sz val="8"/>
            <rFont val="Tahoma"/>
            <family val="0"/>
          </rPr>
          <t>t = Unit overturns or is destroyed.</t>
        </r>
      </text>
    </comment>
    <comment ref="E22" authorId="0">
      <text>
        <r>
          <rPr>
            <sz val="8"/>
            <rFont val="Tahoma"/>
            <family val="0"/>
          </rPr>
          <t>h = Debris - Missle damage occurs.</t>
        </r>
      </text>
    </comment>
    <comment ref="J22" authorId="0">
      <text>
        <r>
          <rPr>
            <sz val="8"/>
            <rFont val="Tahoma"/>
            <family val="0"/>
          </rPr>
          <t>f = Inner parts are damaged.</t>
        </r>
      </text>
    </comment>
    <comment ref="T22" authorId="0">
      <text>
        <r>
          <rPr>
            <sz val="8"/>
            <rFont val="Tahoma"/>
            <family val="0"/>
          </rPr>
          <t>v = Unit moves on foundation.</t>
        </r>
      </text>
    </comment>
    <comment ref="V22" authorId="0">
      <text>
        <r>
          <rPr>
            <sz val="8"/>
            <rFont val="Tahoma"/>
            <family val="0"/>
          </rPr>
          <t>t = Unit overturns or is destroyed.</t>
        </r>
      </text>
    </comment>
    <comment ref="G24" authorId="0">
      <text>
        <r>
          <rPr>
            <sz val="8"/>
            <rFont val="Tahoma"/>
            <family val="0"/>
          </rPr>
          <t>i = Unit moves and pipe breaks.</t>
        </r>
      </text>
    </comment>
    <comment ref="K24" authorId="0">
      <text>
        <r>
          <rPr>
            <sz val="8"/>
            <rFont val="Tahoma"/>
            <family val="0"/>
          </rPr>
          <t>j = Bracing fails.  p = Frame deforms.</t>
        </r>
      </text>
    </comment>
    <comment ref="P24" authorId="0">
      <text>
        <r>
          <rPr>
            <sz val="8"/>
            <rFont val="Tahoma"/>
            <family val="0"/>
          </rPr>
          <t>t = Unit overturns or is destroyed.</t>
        </r>
      </text>
    </comment>
    <comment ref="G26" authorId="0">
      <text>
        <r>
          <rPr>
            <sz val="8"/>
            <rFont val="Tahoma"/>
            <family val="0"/>
          </rPr>
          <t>k = Unit uplifts (half filled).</t>
        </r>
      </text>
    </comment>
    <comment ref="M26" authorId="0">
      <text>
        <r>
          <rPr>
            <sz val="8"/>
            <rFont val="Tahoma"/>
            <family val="0"/>
          </rPr>
          <t>u = Unit uplifts (90% filled).</t>
        </r>
      </text>
    </comment>
    <comment ref="Z26" authorId="0">
      <text>
        <r>
          <rPr>
            <sz val="8"/>
            <rFont val="Tahoma"/>
            <family val="0"/>
          </rPr>
          <t>d = Roof collapses.</t>
        </r>
      </text>
    </comment>
    <comment ref="H28" authorId="0">
      <text>
        <r>
          <rPr>
            <sz val="8"/>
            <rFont val="Tahoma"/>
            <family val="0"/>
          </rPr>
          <t>i = Unit moves and pipe breaks.</t>
        </r>
      </text>
    </comment>
    <comment ref="O28" authorId="0">
      <text>
        <r>
          <rPr>
            <sz val="8"/>
            <rFont val="Tahoma"/>
            <family val="0"/>
          </rPr>
          <t>j = Bracing fails.</t>
        </r>
      </text>
    </comment>
    <comment ref="V28" authorId="0">
      <text>
        <r>
          <rPr>
            <sz val="8"/>
            <rFont val="Tahoma"/>
            <family val="0"/>
          </rPr>
          <t>t = Unit overturns or is destroyed.</t>
        </r>
      </text>
    </comment>
    <comment ref="H30" authorId="0">
      <text>
        <r>
          <rPr>
            <sz val="8"/>
            <rFont val="Tahoma"/>
            <family val="0"/>
          </rPr>
          <t>p = Frame deforms.</t>
        </r>
      </text>
    </comment>
    <comment ref="M30" authorId="0">
      <text>
        <r>
          <rPr>
            <sz val="8"/>
            <rFont val="Tahoma"/>
            <family val="0"/>
          </rPr>
          <t>s = Piping Breaks.                     o = Fram collapses.</t>
        </r>
      </text>
    </comment>
    <comment ref="J32" authorId="0">
      <text>
        <r>
          <rPr>
            <sz val="8"/>
            <rFont val="Tahoma"/>
            <family val="0"/>
          </rPr>
          <t>q = Case is damaged.</t>
        </r>
      </text>
    </comment>
    <comment ref="J34" authorId="0">
      <text>
        <r>
          <rPr>
            <sz val="8"/>
            <rFont val="Tahoma"/>
            <family val="0"/>
          </rPr>
          <t>h = Debris - Missle damage occurs.</t>
        </r>
      </text>
    </comment>
    <comment ref="P34" authorId="0">
      <text>
        <r>
          <rPr>
            <sz val="8"/>
            <rFont val="Tahoma"/>
            <family val="0"/>
          </rPr>
          <t>i = Unit moves and pipe breaks.</t>
        </r>
      </text>
    </comment>
    <comment ref="U34" authorId="0">
      <text>
        <r>
          <rPr>
            <sz val="8"/>
            <rFont val="Tahoma"/>
            <family val="0"/>
          </rPr>
          <t>t = Unit overturns or is destroyed.</t>
        </r>
      </text>
    </comment>
    <comment ref="K36" authorId="0">
      <text>
        <r>
          <rPr>
            <sz val="8"/>
            <rFont val="Tahoma"/>
            <family val="0"/>
          </rPr>
          <t>h = Debris - Missle damage occurs.</t>
        </r>
      </text>
    </comment>
    <comment ref="S36" authorId="0">
      <text>
        <r>
          <rPr>
            <sz val="8"/>
            <rFont val="Tahoma"/>
            <family val="0"/>
          </rPr>
          <t>i = Unit moves and pipe breaks.</t>
        </r>
      </text>
    </comment>
    <comment ref="AA36" authorId="0">
      <text>
        <r>
          <rPr>
            <sz val="8"/>
            <rFont val="Tahoma"/>
            <family val="0"/>
          </rPr>
          <t>v = Unit moves on foundation.</t>
        </r>
      </text>
    </comment>
    <comment ref="K38" authorId="0">
      <text>
        <r>
          <rPr>
            <sz val="8"/>
            <rFont val="Tahoma"/>
            <family val="0"/>
          </rPr>
          <t>q = Case is damaged.</t>
        </r>
      </text>
    </comment>
    <comment ref="U38" authorId="0">
      <text>
        <r>
          <rPr>
            <sz val="8"/>
            <rFont val="Tahoma"/>
            <family val="0"/>
          </rPr>
          <t>t = Unit overturns or is destroyed.</t>
        </r>
      </text>
    </comment>
    <comment ref="L40" authorId="0">
      <text>
        <r>
          <rPr>
            <sz val="8"/>
            <rFont val="Tahoma"/>
            <family val="0"/>
          </rPr>
          <t>r = Frame Cracks.</t>
        </r>
      </text>
    </comment>
    <comment ref="O40" authorId="0">
      <text>
        <r>
          <rPr>
            <sz val="8"/>
            <rFont val="Tahoma"/>
            <family val="0"/>
          </rPr>
          <t>t = Unit overturns or is destroyed.</t>
        </r>
      </text>
    </comment>
    <comment ref="S42" authorId="0">
      <text>
        <r>
          <rPr>
            <sz val="8"/>
            <rFont val="Tahoma"/>
            <family val="0"/>
          </rPr>
          <t>t = Unit overturns or is destroyed.</t>
        </r>
      </text>
    </comment>
    <comment ref="M44" authorId="0">
      <text>
        <r>
          <rPr>
            <sz val="8"/>
            <rFont val="Tahoma"/>
            <family val="0"/>
          </rPr>
          <t>i = Unit moves and pipe breaks.</t>
        </r>
      </text>
    </comment>
    <comment ref="U44" authorId="0">
      <text>
        <r>
          <rPr>
            <sz val="8"/>
            <rFont val="Tahoma"/>
            <family val="0"/>
          </rPr>
          <t>m = Controls are damaged.       
q = Case is damaged.</t>
        </r>
      </text>
    </comment>
    <comment ref="N46" authorId="0">
      <text>
        <r>
          <rPr>
            <sz val="8"/>
            <rFont val="Tahoma"/>
            <family val="0"/>
          </rPr>
          <t>i = Unit moves and pipe breaks.</t>
        </r>
      </text>
    </comment>
    <comment ref="U46" authorId="0">
      <text>
        <r>
          <rPr>
            <sz val="8"/>
            <rFont val="Tahoma"/>
            <family val="0"/>
          </rPr>
          <t>v = Unit moves on foundation.</t>
        </r>
      </text>
    </comment>
    <comment ref="V46" authorId="0">
      <text>
        <r>
          <rPr>
            <sz val="8"/>
            <rFont val="Tahoma"/>
            <family val="0"/>
          </rPr>
          <t>t = Unit overturns or is destroyed.</t>
        </r>
      </text>
    </comment>
    <comment ref="P48" authorId="0">
      <text>
        <r>
          <rPr>
            <sz val="8"/>
            <rFont val="Tahoma"/>
            <family val="0"/>
          </rPr>
          <t>i = Unit moves and pipe breaks.</t>
        </r>
      </text>
    </comment>
    <comment ref="V48" authorId="0">
      <text>
        <r>
          <rPr>
            <sz val="8"/>
            <rFont val="Tahoma"/>
            <family val="0"/>
          </rPr>
          <t xml:space="preserve">m = Controls are damaged.       </t>
        </r>
      </text>
    </comment>
    <comment ref="W48" authorId="0">
      <text>
        <r>
          <rPr>
            <sz val="8"/>
            <rFont val="Tahoma"/>
            <family val="0"/>
          </rPr>
          <t xml:space="preserve">s = Piping Breaks.                     </t>
        </r>
      </text>
    </comment>
    <comment ref="AA48" authorId="0">
      <text>
        <r>
          <rPr>
            <sz val="8"/>
            <rFont val="Tahoma"/>
            <family val="0"/>
          </rPr>
          <t>v = Unit moves on foundation.</t>
        </r>
      </text>
    </comment>
    <comment ref="P50" authorId="0">
      <text>
        <r>
          <rPr>
            <sz val="8"/>
            <rFont val="Tahoma"/>
            <family val="0"/>
          </rPr>
          <t>i = Unit moves and pipe breaks.</t>
        </r>
      </text>
    </comment>
    <comment ref="S50" authorId="0">
      <text>
        <r>
          <rPr>
            <sz val="8"/>
            <rFont val="Tahoma"/>
            <family val="0"/>
          </rPr>
          <t>t = Unit overturns or is destroyed.</t>
        </r>
      </text>
    </comment>
    <comment ref="Q52" authorId="0">
      <text>
        <r>
          <rPr>
            <sz val="8"/>
            <rFont val="Tahoma"/>
            <family val="0"/>
          </rPr>
          <t>i = Unit moves and pipe breaks.</t>
        </r>
      </text>
    </comment>
    <comment ref="W52" authorId="0">
      <text>
        <r>
          <rPr>
            <sz val="8"/>
            <rFont val="Tahoma"/>
            <family val="0"/>
          </rPr>
          <t>j = Bracing fails.</t>
        </r>
      </text>
    </comment>
    <comment ref="X52" authorId="0">
      <text>
        <r>
          <rPr>
            <sz val="8"/>
            <rFont val="Tahoma"/>
            <family val="0"/>
          </rPr>
          <t>t = Unit overturns or is destroyed.</t>
        </r>
      </text>
    </comment>
    <comment ref="V54" authorId="0">
      <text>
        <r>
          <rPr>
            <sz val="8"/>
            <rFont val="Tahoma"/>
            <family val="0"/>
          </rPr>
          <t>i = Unit moves and pipe breaks.</t>
        </r>
      </text>
    </comment>
    <comment ref="W54" authorId="0">
      <text>
        <r>
          <rPr>
            <sz val="8"/>
            <rFont val="Tahoma"/>
            <family val="0"/>
          </rPr>
          <t>t = Unit overturns or is destroyed.</t>
        </r>
      </text>
    </comment>
    <comment ref="V56" authorId="0">
      <text>
        <r>
          <rPr>
            <sz val="8"/>
            <rFont val="Tahoma"/>
            <family val="0"/>
          </rPr>
          <t>i = Unit moves and pipe breaks.</t>
        </r>
      </text>
    </comment>
    <comment ref="X56" authorId="0">
      <text>
        <r>
          <rPr>
            <sz val="8"/>
            <rFont val="Tahoma"/>
            <family val="0"/>
          </rPr>
          <t>V = Unit moves on foundation.</t>
        </r>
      </text>
    </comment>
    <comment ref="U10" authorId="1">
      <text>
        <r>
          <rPr>
            <sz val="8"/>
            <rFont val="Tahoma"/>
            <family val="2"/>
          </rPr>
          <t>o = Frame Collapses.</t>
        </r>
      </text>
    </comment>
  </commentList>
</comments>
</file>

<file path=xl/sharedStrings.xml><?xml version="1.0" encoding="utf-8"?>
<sst xmlns="http://schemas.openxmlformats.org/spreadsheetml/2006/main" count="1110" uniqueCount="836">
  <si>
    <t>Vessel =</t>
  </si>
  <si>
    <t>Flixborough Reactor</t>
  </si>
  <si>
    <t>Case</t>
  </si>
  <si>
    <t>Rapid Depressurization In Vapor Phase - No Liquid Entrainment</t>
  </si>
  <si>
    <t>Chemical Stored</t>
  </si>
  <si>
    <t>C6H12</t>
  </si>
  <si>
    <t>Goto List_Of_Chemicals For Some Phys Prop Data</t>
  </si>
  <si>
    <t>Vessel Volume, cf =</t>
  </si>
  <si>
    <t>5 Reactors</t>
  </si>
  <si>
    <t>cu. m</t>
  </si>
  <si>
    <t>Liquid Storage Volume, cf =</t>
  </si>
  <si>
    <t>% Full =</t>
  </si>
  <si>
    <t>Tonnes</t>
  </si>
  <si>
    <t>Vessel Surface Area</t>
  </si>
  <si>
    <t>sf</t>
  </si>
  <si>
    <t>m2</t>
  </si>
  <si>
    <t>Allowable Str</t>
  </si>
  <si>
    <t>Vessel Shell Thickness =</t>
  </si>
  <si>
    <t>inches</t>
  </si>
  <si>
    <t>US Gal</t>
  </si>
  <si>
    <t>Dia</t>
  </si>
  <si>
    <t>Wt Of Vessel =</t>
  </si>
  <si>
    <t>lbs</t>
  </si>
  <si>
    <t>Joint Eff'y</t>
  </si>
  <si>
    <t>Vessel Design Pressure, psig =</t>
  </si>
  <si>
    <t xml:space="preserve">PSV Fire Flow Pressure = </t>
  </si>
  <si>
    <t>psig</t>
  </si>
  <si>
    <t>Des Press</t>
  </si>
  <si>
    <t xml:space="preserve">Vessel Failure Pressure, psig = </t>
  </si>
  <si>
    <t>kPa</t>
  </si>
  <si>
    <t>Liquid Temp at Failure Pressure =</t>
  </si>
  <si>
    <t>°F</t>
  </si>
  <si>
    <t>Molecular Weight</t>
  </si>
  <si>
    <t>Quantity Material =</t>
  </si>
  <si>
    <t>Tons</t>
  </si>
  <si>
    <t>tonnes</t>
  </si>
  <si>
    <t>Liquid Density =</t>
  </si>
  <si>
    <t>lb/cf</t>
  </si>
  <si>
    <t>kgm/cu. meter</t>
  </si>
  <si>
    <t>Ambient Temperature, Ta =</t>
  </si>
  <si>
    <t>deg K</t>
  </si>
  <si>
    <t>Atmospheric Pressure, =</t>
  </si>
  <si>
    <t>psia</t>
  </si>
  <si>
    <t>N/sq m</t>
  </si>
  <si>
    <t>Relative Humidity =</t>
  </si>
  <si>
    <t>Flow Temperature, T =</t>
  </si>
  <si>
    <t>deg F</t>
  </si>
  <si>
    <t>Atmospheric Boiling Pt., Tb =</t>
  </si>
  <si>
    <t>Avg Liq Cp Between Amb &amp; Stg Temp</t>
  </si>
  <si>
    <t>BTU/lb/F</t>
  </si>
  <si>
    <t>kJ/kgmK</t>
  </si>
  <si>
    <t>Latent Heat at Atm Boiling Point =</t>
  </si>
  <si>
    <t>BTU/lb</t>
  </si>
  <si>
    <t>kJ/kgm</t>
  </si>
  <si>
    <t>Lower Flammable Limit</t>
  </si>
  <si>
    <t>Upper Flammable Limit</t>
  </si>
  <si>
    <t>Heat Of Combustion =</t>
  </si>
  <si>
    <t>Mj/Kgm</t>
  </si>
  <si>
    <t>Mols O2/Mols HC On Combustion =</t>
  </si>
  <si>
    <t xml:space="preserve"> = (n+m/4) in CnHm Hydrocarbon, eg in C2H4 =(2+4/4) = 3</t>
  </si>
  <si>
    <t>Mass of Liq Flashing to Atm., Eq 4</t>
  </si>
  <si>
    <t>kgm/cu. m.</t>
  </si>
  <si>
    <t>Sig m, std dev'n of conc'n by Eq 25</t>
  </si>
  <si>
    <t>feet</t>
  </si>
  <si>
    <t>meters</t>
  </si>
  <si>
    <t>Cloud Radius, R1, at LEL by Eq 26</t>
  </si>
  <si>
    <t xml:space="preserve">Mass of Vapor in Flam Cloud, Eq 27 </t>
  </si>
  <si>
    <t xml:space="preserve">lbs </t>
  </si>
  <si>
    <t>kgms</t>
  </si>
  <si>
    <t>Trapazoidal Rule to Solve Integral in Eq 27</t>
  </si>
  <si>
    <t>Radius at R1  = b</t>
  </si>
  <si>
    <t>Radius at 0  = a</t>
  </si>
  <si>
    <t>Divide (a to b) into  n = parts</t>
  </si>
  <si>
    <t>Integral</t>
  </si>
  <si>
    <t>h = (b - a) / n  = dr  =</t>
  </si>
  <si>
    <t>Eqn 27</t>
  </si>
  <si>
    <t>xo</t>
  </si>
  <si>
    <t>yo</t>
  </si>
  <si>
    <t>x1</t>
  </si>
  <si>
    <t>y1</t>
  </si>
  <si>
    <t>2y1</t>
  </si>
  <si>
    <t>x2</t>
  </si>
  <si>
    <t>y2</t>
  </si>
  <si>
    <t>2y2</t>
  </si>
  <si>
    <t>x3</t>
  </si>
  <si>
    <t>y3</t>
  </si>
  <si>
    <t>2y3</t>
  </si>
  <si>
    <t>x4</t>
  </si>
  <si>
    <t>y4</t>
  </si>
  <si>
    <t>2y4</t>
  </si>
  <si>
    <t>x5</t>
  </si>
  <si>
    <t>y5</t>
  </si>
  <si>
    <t>2y5</t>
  </si>
  <si>
    <t>x6</t>
  </si>
  <si>
    <t>y6</t>
  </si>
  <si>
    <t>2y6</t>
  </si>
  <si>
    <t>x7</t>
  </si>
  <si>
    <t>y7</t>
  </si>
  <si>
    <t>2y7</t>
  </si>
  <si>
    <t>x8</t>
  </si>
  <si>
    <t>y8</t>
  </si>
  <si>
    <t>2y8</t>
  </si>
  <si>
    <t>x9</t>
  </si>
  <si>
    <t>y9</t>
  </si>
  <si>
    <t>2y9</t>
  </si>
  <si>
    <t>x10</t>
  </si>
  <si>
    <t>y10</t>
  </si>
  <si>
    <t>2y10</t>
  </si>
  <si>
    <t>x11</t>
  </si>
  <si>
    <t>y11</t>
  </si>
  <si>
    <t>2y11</t>
  </si>
  <si>
    <t>x12</t>
  </si>
  <si>
    <t>y12</t>
  </si>
  <si>
    <t>2y12</t>
  </si>
  <si>
    <t>Cloud Radius, R1,    x13</t>
  </si>
  <si>
    <t>y13</t>
  </si>
  <si>
    <t>Cu. m., m3, in Hemisphere =</t>
  </si>
  <si>
    <t>By Eqn 27</t>
  </si>
  <si>
    <t>Basis:  V.J. Clancey, 2nd Int. Symp. on Loss Prevention and Safety, Presented In Lihou Course</t>
  </si>
  <si>
    <t xml:space="preserve">            Promotion in the Process Industries, Heidelberg, 1877, p-323. Dechema, Frankfurt 1978</t>
  </si>
  <si>
    <t>BLEVE CHARACTERISTICS</t>
  </si>
  <si>
    <t>Basis:</t>
  </si>
  <si>
    <t>Guidelines for Chemical Process Quantitative Risk Analysis</t>
  </si>
  <si>
    <t>Vessel</t>
  </si>
  <si>
    <t>% Flash =</t>
  </si>
  <si>
    <t>(Roberts)</t>
  </si>
  <si>
    <t>% Full at Time Of Event</t>
  </si>
  <si>
    <t>Between UEL &amp; LEL =</t>
  </si>
  <si>
    <t>Clancey - Still Air - Hemisphere</t>
  </si>
  <si>
    <t>Peak Fireball Dia, D max =</t>
  </si>
  <si>
    <t>CCPS QRA Guide</t>
  </si>
  <si>
    <t>Eq 2.2.8, p-126</t>
  </si>
  <si>
    <t>Fireball Duration, t BLEVE =</t>
  </si>
  <si>
    <t>secs</t>
  </si>
  <si>
    <t>Eq 2.2.9, p-126</t>
  </si>
  <si>
    <t>Center Ht. Fireball, H BLEVE =</t>
  </si>
  <si>
    <t>FB Touching Ground</t>
  </si>
  <si>
    <t>Eq 2.2.10, p-126</t>
  </si>
  <si>
    <t>Ground Hemisphere Dia., D initial =</t>
  </si>
  <si>
    <t>Eq 2.2.11, p-126</t>
  </si>
  <si>
    <t xml:space="preserve">Convergence Area </t>
  </si>
  <si>
    <t>Convergence Counter, 1 = set, 2 = run</t>
  </si>
  <si>
    <t>Initial Seed =</t>
  </si>
  <si>
    <t>Assumed Radiation Fraction, Frad =</t>
  </si>
  <si>
    <t xml:space="preserve">(0.25 - 0.4) By Technica - Pitbaldo - 89 </t>
  </si>
  <si>
    <t>H</t>
  </si>
  <si>
    <t>Hypot</t>
  </si>
  <si>
    <t>Grnd Distance, X, for Thermal Flux =</t>
  </si>
  <si>
    <t>ft.</t>
  </si>
  <si>
    <t>View factor, F21 =</t>
  </si>
  <si>
    <t>Eq 2.2.15, p-127</t>
  </si>
  <si>
    <t>X</t>
  </si>
  <si>
    <t>Path length for transmissivity, PL =</t>
  </si>
  <si>
    <t>PL = Hypot - Dmax/2</t>
  </si>
  <si>
    <t>See calc, btm p-456, CPQRA</t>
  </si>
  <si>
    <t>Ambient Temp =</t>
  </si>
  <si>
    <t>Sat'd vap pressure =</t>
  </si>
  <si>
    <t>V. Ganapathy, Hydroc Pr, May 1989, P-69</t>
  </si>
  <si>
    <t>mols H20 / mol wet air =</t>
  </si>
  <si>
    <t>Water Partial Pressure, Pw  =</t>
  </si>
  <si>
    <t>Transmissivity, Tau =</t>
  </si>
  <si>
    <t>Technica - Pitblado</t>
  </si>
  <si>
    <t>Eq 2.2.13, p-127</t>
  </si>
  <si>
    <t>Surface Emitted Flux, E =</t>
  </si>
  <si>
    <t>kW/sq m</t>
  </si>
  <si>
    <t>Eq 2.2.14, p-127</t>
  </si>
  <si>
    <t xml:space="preserve">Received Flux at Specd Dist = </t>
  </si>
  <si>
    <t xml:space="preserve">kW/sq.m. for BLEVE duration </t>
  </si>
  <si>
    <t>Eq 2.2.12, p-126</t>
  </si>
  <si>
    <t>kW/sq.m. for BLEVE duration</t>
  </si>
  <si>
    <t>Secs</t>
  </si>
  <si>
    <t>LC50 Meters</t>
  </si>
  <si>
    <t>HSE BLEVE Method</t>
  </si>
  <si>
    <t>Eisenberg et al (1975) Estimate Of Injury Fr Pool &amp; Flash Fires, Based on Nuclear Expln Data, p-160</t>
  </si>
  <si>
    <t>CPQRA, Eq 2.2.17, p-129</t>
  </si>
  <si>
    <t>Thermal Dose Probit for BLEVE =</t>
  </si>
  <si>
    <t>Eq 2.3.4, p-160</t>
  </si>
  <si>
    <t>Interim result from probit Eqn =</t>
  </si>
  <si>
    <t>Range 1.24 to 50% (Break into 2, formula too long)</t>
  </si>
  <si>
    <t>Range 50% to 99.9% (Break into 2, fomula too long)</t>
  </si>
  <si>
    <t>BLEVE Consequence @ Recd Flux</t>
  </si>
  <si>
    <t>Eisenberg Grnd Dist, X at t BLEVE =</t>
  </si>
  <si>
    <t>With Tau by</t>
  </si>
  <si>
    <t>direct quadratic solution</t>
  </si>
  <si>
    <t>UK HSE BLEVE Duration =</t>
  </si>
  <si>
    <t>seconds for LPG containers</t>
  </si>
  <si>
    <t>Eq 2.2.17, p-129</t>
  </si>
  <si>
    <t>Hazard Range to 50% lethality =</t>
  </si>
  <si>
    <t>Grint 1984</t>
  </si>
  <si>
    <t>Safe Fatality Distance =</t>
  </si>
  <si>
    <t>ARCHIE - Page B-34, B.51 &amp; B.52</t>
  </si>
  <si>
    <t>Safe Injury Dist (Sec ° Burns) =</t>
  </si>
  <si>
    <t>ARCHIE - Page B-34, B.53</t>
  </si>
  <si>
    <t>BLEVE SHOCK WAVE CALCULATIONS ON TANK RUPTURE ( Due to rapid expansion of fluid on rupture)</t>
  </si>
  <si>
    <t>Volume Compressed Gas =</t>
  </si>
  <si>
    <t>cu. ft. above liquid</t>
  </si>
  <si>
    <t>NFPA BLEVE Test Data - Run No. 6</t>
  </si>
  <si>
    <t>Actual Stg Capacity At BLEVE =</t>
  </si>
  <si>
    <t>Tonnes at</t>
  </si>
  <si>
    <t>Full</t>
  </si>
  <si>
    <t>Lbs TNT Generated =</t>
  </si>
  <si>
    <t>By Baker et al (1983)</t>
  </si>
  <si>
    <t>CPQRA Eq 2.2.3, p-114</t>
  </si>
  <si>
    <t>Meters</t>
  </si>
  <si>
    <t>PSO - psig</t>
  </si>
  <si>
    <t>PSO - kPa</t>
  </si>
  <si>
    <t>Distance To 10 psig PSO =</t>
  </si>
  <si>
    <t>ft. Major Eqt Damage</t>
  </si>
  <si>
    <t>CPQRA Fig 21.8, p-108</t>
  </si>
  <si>
    <t>Distance to 5 psig PSO =</t>
  </si>
  <si>
    <t>ft. Max Extent Major Eqt Damage, and = LC50</t>
  </si>
  <si>
    <t>Distance to 1 psig PSO =</t>
  </si>
  <si>
    <t>ft. Max Extent For Wounded Distance</t>
  </si>
  <si>
    <t>East - West</t>
  </si>
  <si>
    <t>BLEVE FRAGMENT CALCULATIONS ON TANK RUPTURE ( Due to rapid expansion of fluid on rupture)</t>
  </si>
  <si>
    <t>Est'd No. Of Fragments =</t>
  </si>
  <si>
    <t>Eq 2.2.7, p-125, Holden et al</t>
  </si>
  <si>
    <t>North - South</t>
  </si>
  <si>
    <t>The Average Wt Of Fragments =</t>
  </si>
  <si>
    <t>The Average Area Of Fragment =</t>
  </si>
  <si>
    <t xml:space="preserve">sf </t>
  </si>
  <si>
    <t>sq m</t>
  </si>
  <si>
    <t>Average Diameter =</t>
  </si>
  <si>
    <t>Initial Velocity Of Fragment =</t>
  </si>
  <si>
    <t>ft/sec</t>
  </si>
  <si>
    <t>m/s</t>
  </si>
  <si>
    <t>Air Density =</t>
  </si>
  <si>
    <t>kgm/cu. m</t>
  </si>
  <si>
    <t>Fig 2.23 Fragment Type, p-120 =</t>
  </si>
  <si>
    <t>Sphere</t>
  </si>
  <si>
    <t>Cube</t>
  </si>
  <si>
    <t>Disc, face-on</t>
  </si>
  <si>
    <t>Fig 2.23 Drag Coeff, CD, p-120 =</t>
  </si>
  <si>
    <t>Fig 2.24, p-121, X ordinate =</t>
  </si>
  <si>
    <t>Fig 2.24, p-121, Y ordinate =</t>
  </si>
  <si>
    <t>"Chunky", (CL)(AL)/(CD)(AD) = 0</t>
  </si>
  <si>
    <t>Dist Travelled by Fragments =</t>
  </si>
  <si>
    <t>Page 2</t>
  </si>
  <si>
    <t>IF BLEVE DOES NOT OCCUR AND AN CONFINED VAPOR CLOUD EXPLOSION TAKES PLACE</t>
  </si>
  <si>
    <t>Basis:  HAZARD EVALUATION USING PERSONAL COMPUTERS - 1987 - Lecture 3 - by Dr. D.A. Lihou</t>
  </si>
  <si>
    <t>Based on vapor lost to atm of</t>
  </si>
  <si>
    <t>tonne</t>
  </si>
  <si>
    <t>lbs In Vap Cld</t>
  </si>
  <si>
    <t>And</t>
  </si>
  <si>
    <t>tonnes between UEL &amp; LEL</t>
  </si>
  <si>
    <t>lbs In Flam</t>
  </si>
  <si>
    <t>Stoich Eqn Goto List_Of_Chemicals</t>
  </si>
  <si>
    <t>9 O2    &gt;&gt;&gt;</t>
  </si>
  <si>
    <t>6 CO2</t>
  </si>
  <si>
    <t>6 H20</t>
  </si>
  <si>
    <t>Moles O2/Mol HC =</t>
  </si>
  <si>
    <t>See List_Of_Chemicals</t>
  </si>
  <si>
    <t>Edge Of Cloud=</t>
  </si>
  <si>
    <t>Air to O2 (80% N2, 20% O2)=</t>
  </si>
  <si>
    <t>Dist to 5 psig=</t>
  </si>
  <si>
    <t>Air to HC =</t>
  </si>
  <si>
    <t>Max Extent =</t>
  </si>
  <si>
    <t>Vol Of Cloud at NTP =</t>
  </si>
  <si>
    <t>cu. meters</t>
  </si>
  <si>
    <t>Hemispherical Radius, Ro =</t>
  </si>
  <si>
    <t>meters @ NTP</t>
  </si>
  <si>
    <t>ft</t>
  </si>
  <si>
    <t>The radius of the edge of the cloud =</t>
  </si>
  <si>
    <t>meters by Eqn 6 after expln &amp; an 8 fold increase in vol.</t>
  </si>
  <si>
    <t>By Sutton - neutral cond, Xm =</t>
  </si>
  <si>
    <t>meters by Eqn 7 distance to maximum potential due to wind</t>
  </si>
  <si>
    <t>Eo after combustion =</t>
  </si>
  <si>
    <t>Giga Joules based on quantity in vapor phase - Gugan</t>
  </si>
  <si>
    <t>Giga Joules based on quantity between flammables - Clancey.</t>
  </si>
  <si>
    <t>Gugan Explosive Yield =</t>
  </si>
  <si>
    <t>Calc'd Fr Edge Of Cloud</t>
  </si>
  <si>
    <t>Gugan TNT =</t>
  </si>
  <si>
    <t>Gugan Eqn 5, to =</t>
  </si>
  <si>
    <t>sec</t>
  </si>
  <si>
    <t>Gugan Eqn 4, pc =</t>
  </si>
  <si>
    <t>MN/m^2/s = rate of pressure rise at epicenter</t>
  </si>
  <si>
    <t>Gugan Eqn 3, Rs =</t>
  </si>
  <si>
    <t>meters where overpressure is a maximum</t>
  </si>
  <si>
    <t>Gugan Overpressure ar Rs =</t>
  </si>
  <si>
    <t>kN/m^2 where overpressure is a maximum</t>
  </si>
  <si>
    <t>Clancey Yield by RAH Wt. Basis =</t>
  </si>
  <si>
    <t>Based On quantity in the flammable range</t>
  </si>
  <si>
    <t>Clancey Tons TNT Equivalent =</t>
  </si>
  <si>
    <t>10 psig PSO @ Edge Of Cloud After Expln &amp; Epicenter @ Vessel.</t>
  </si>
  <si>
    <t>By U.S. Army PSO vs Zg Curve Fit</t>
  </si>
  <si>
    <t>Consequences</t>
  </si>
  <si>
    <t>Overpressure</t>
  </si>
  <si>
    <t>RAH/Gugan, m</t>
  </si>
  <si>
    <t>Clancey, m</t>
  </si>
  <si>
    <t>Clancey, ft</t>
  </si>
  <si>
    <t>A Check of PSO</t>
  </si>
  <si>
    <t>kN/m^2</t>
  </si>
  <si>
    <t>PSO, psig</t>
  </si>
  <si>
    <t>Flixborough Type Damage</t>
  </si>
  <si>
    <t>Distillation Tower Overturned</t>
  </si>
  <si>
    <t>Piperack Bent - Piping Breaks</t>
  </si>
  <si>
    <t>Limit Of Major Plant Eqt Damage</t>
  </si>
  <si>
    <t>Steel Panel Building Demolished</t>
  </si>
  <si>
    <t>API Tank 50% Full Uplifts</t>
  </si>
  <si>
    <t>Non Reinf Conc Blocks Shattered</t>
  </si>
  <si>
    <t>Lower Limit Serious Struct Damage</t>
  </si>
  <si>
    <t>Man Knocked Over - No Ear Damage</t>
  </si>
  <si>
    <t>Corrugated Steel Panels Buckle</t>
  </si>
  <si>
    <t>Glass Damage Shattered</t>
  </si>
  <si>
    <t>Limit Minor Structural Damage</t>
  </si>
  <si>
    <t>Limit of Glass Failure</t>
  </si>
  <si>
    <t xml:space="preserve"> @ pt where overpressure is a max</t>
  </si>
  <si>
    <t>Sadee Data For Flixborough</t>
  </si>
  <si>
    <t>psi - Sadee</t>
  </si>
  <si>
    <t>ft - Gugan</t>
  </si>
  <si>
    <t>ft - Clancey</t>
  </si>
  <si>
    <t>Some question on constant</t>
  </si>
  <si>
    <t>in Gugan's eqn</t>
  </si>
  <si>
    <t>Is it 378.6 as in Gugan's Book</t>
  </si>
  <si>
    <t>or 37.86 as in Lihou???</t>
  </si>
  <si>
    <t>See D83</t>
  </si>
  <si>
    <t>Cloud Boundary by Clancey</t>
  </si>
  <si>
    <t>Reactor</t>
  </si>
  <si>
    <t>Database</t>
  </si>
  <si>
    <t>Propane</t>
  </si>
  <si>
    <t>V-666</t>
  </si>
  <si>
    <t>Propane Sphere</t>
  </si>
  <si>
    <t>Butane Sphere</t>
  </si>
  <si>
    <t>Phillips Expln</t>
  </si>
  <si>
    <t>QRA Eg</t>
  </si>
  <si>
    <t>TNO Example</t>
  </si>
  <si>
    <t>CPQRA eg</t>
  </si>
  <si>
    <t>Butadiene Stg</t>
  </si>
  <si>
    <t>Lake Charles</t>
  </si>
  <si>
    <t>Butadiene Sphere</t>
  </si>
  <si>
    <t>EtCl Stg</t>
  </si>
  <si>
    <t>Freon Stg</t>
  </si>
  <si>
    <t>EO Sth</t>
  </si>
  <si>
    <t>VCM Example</t>
  </si>
  <si>
    <t>NFPA's BLEVE Tests - Run No. 6</t>
  </si>
  <si>
    <t>Dan's Test Case</t>
  </si>
  <si>
    <t>Ste-Elisabeth-De-Warwick, June 27,93</t>
  </si>
  <si>
    <t>Hillsburgh, Ontario, 18 Aug 93</t>
  </si>
  <si>
    <t>Butane Cylinder</t>
  </si>
  <si>
    <t>Page 129 CCPS QRA Guideline</t>
  </si>
  <si>
    <t>Ethylene Reflux Drum</t>
  </si>
  <si>
    <t>Pemex, Mexico City</t>
  </si>
  <si>
    <t>90% Flashed</t>
  </si>
  <si>
    <t>ACN Stg Tk</t>
  </si>
  <si>
    <t>9.1.5, P-337</t>
  </si>
  <si>
    <t>Distillation Twr</t>
  </si>
  <si>
    <t>Varennes</t>
  </si>
  <si>
    <t>Gugan #54</t>
  </si>
  <si>
    <t>Midland</t>
  </si>
  <si>
    <t>SERI Chk</t>
  </si>
  <si>
    <t>Press Stg</t>
  </si>
  <si>
    <t>Propane Tank</t>
  </si>
  <si>
    <t>Propane tank</t>
  </si>
  <si>
    <t>Propane Tank Truck</t>
  </si>
  <si>
    <t>Hexane</t>
  </si>
  <si>
    <t>Norco, La</t>
  </si>
  <si>
    <t>Ethylene</t>
  </si>
  <si>
    <t>C3H8</t>
  </si>
  <si>
    <t>C4H10</t>
  </si>
  <si>
    <t>Isobutane</t>
  </si>
  <si>
    <t>ACN</t>
  </si>
  <si>
    <t>C6H14</t>
  </si>
  <si>
    <t>Butadiene</t>
  </si>
  <si>
    <t>Isobutylene</t>
  </si>
  <si>
    <t>EtCl</t>
  </si>
  <si>
    <t>Freon 142B</t>
  </si>
  <si>
    <t>EO</t>
  </si>
  <si>
    <t>VCM</t>
  </si>
  <si>
    <t>Vapor Temp at Failure Pressure =</t>
  </si>
  <si>
    <t>Max Storage Tons @ 90% Full =</t>
  </si>
  <si>
    <t>Ambient Temperature =</t>
  </si>
  <si>
    <t>Flow Temperature</t>
  </si>
  <si>
    <t>Atmospheric Boiling Pt. =</t>
  </si>
  <si>
    <t>Example for For Complete Stoichiometric Combustion of Ethylene</t>
  </si>
  <si>
    <t>Write Equation</t>
  </si>
  <si>
    <t>C2H4</t>
  </si>
  <si>
    <t>O2</t>
  </si>
  <si>
    <t>&gt;&gt;&gt;</t>
  </si>
  <si>
    <t>CO2</t>
  </si>
  <si>
    <t>H2O</t>
  </si>
  <si>
    <t>For Stoichiometry enter moles</t>
  </si>
  <si>
    <t>Cu.M O2/Cu. M Chemical =</t>
  </si>
  <si>
    <t>See List Below</t>
  </si>
  <si>
    <t>3 mols of O2 are entered</t>
  </si>
  <si>
    <t>at E152 for ethylene.</t>
  </si>
  <si>
    <t>Gases</t>
  </si>
  <si>
    <t>Code No.</t>
  </si>
  <si>
    <t>Chemical</t>
  </si>
  <si>
    <t>LEL</t>
  </si>
  <si>
    <t>UEL</t>
  </si>
  <si>
    <t>Stoich O2</t>
  </si>
  <si>
    <t>hc, BTU/lb</t>
  </si>
  <si>
    <t>HC</t>
  </si>
  <si>
    <t xml:space="preserve">Oxygen </t>
  </si>
  <si>
    <t>Water</t>
  </si>
  <si>
    <t>n-Butane</t>
  </si>
  <si>
    <t>6.5  O2</t>
  </si>
  <si>
    <t>4 CO2</t>
  </si>
  <si>
    <t>5 H2O</t>
  </si>
  <si>
    <t>5 O2</t>
  </si>
  <si>
    <t>3 CO2</t>
  </si>
  <si>
    <t>4 H2O</t>
  </si>
  <si>
    <t>Propylene</t>
  </si>
  <si>
    <t>C3H6</t>
  </si>
  <si>
    <t>4.5 O2</t>
  </si>
  <si>
    <t>3 H20</t>
  </si>
  <si>
    <t xml:space="preserve">Ethane </t>
  </si>
  <si>
    <t>C2H6</t>
  </si>
  <si>
    <t>3.5 O2</t>
  </si>
  <si>
    <t>2 CO2</t>
  </si>
  <si>
    <t>3 H2O</t>
  </si>
  <si>
    <t>3 O2</t>
  </si>
  <si>
    <t>2 H2O</t>
  </si>
  <si>
    <t>C2H4O</t>
  </si>
  <si>
    <t>2.5 O2</t>
  </si>
  <si>
    <t>2 H20</t>
  </si>
  <si>
    <t>Methane</t>
  </si>
  <si>
    <t>CH4</t>
  </si>
  <si>
    <t>2 O2</t>
  </si>
  <si>
    <t>C2H3Cl</t>
  </si>
  <si>
    <t>H20</t>
  </si>
  <si>
    <t>H2S</t>
  </si>
  <si>
    <t>1.5 O2</t>
  </si>
  <si>
    <t>SO2</t>
  </si>
  <si>
    <t>HCL</t>
  </si>
  <si>
    <t>Acetylene</t>
  </si>
  <si>
    <t>C2H2</t>
  </si>
  <si>
    <t>Cyclohexane</t>
  </si>
  <si>
    <t>User Choice</t>
  </si>
  <si>
    <t>Liquids</t>
  </si>
  <si>
    <t>PO</t>
  </si>
  <si>
    <t>High</t>
  </si>
  <si>
    <t>C3H6O</t>
  </si>
  <si>
    <t>Benzene</t>
  </si>
  <si>
    <t>C6H6</t>
  </si>
  <si>
    <t>Solv Naphtha</t>
  </si>
  <si>
    <t>high</t>
  </si>
  <si>
    <t>Basis:  V.J. Clancey, 2nd Int. Symp. on Loss Prevention and Safety</t>
  </si>
  <si>
    <t xml:space="preserve">            Also Presented in Hazard Evaluation Using Personal Computers Course, Aston Science Park</t>
  </si>
  <si>
    <t xml:space="preserve">           11-15 May, 1987 by Lihou Loss Prevention Services Ltd, U.K.</t>
  </si>
  <si>
    <t xml:space="preserve">            Converted to Macintosh Excel™ Spreadsheet by RAH.</t>
  </si>
  <si>
    <t>BLEVE FIREBALL HAZARD CHARACTERISTICS</t>
  </si>
  <si>
    <t>Maximum Storage Quantity =</t>
  </si>
  <si>
    <t xml:space="preserve">Hemispherical Ground Fireball Diameter = </t>
  </si>
  <si>
    <t>Fireball Duration for Complete Combustion, td =</t>
  </si>
  <si>
    <t>Calculated Fraction Radiated =</t>
  </si>
  <si>
    <t>Enter Probit Case No. (1 to 8)</t>
  </si>
  <si>
    <t>For Eisenberg</t>
  </si>
  <si>
    <t>Ground</t>
  </si>
  <si>
    <t>Thermal Dose</t>
  </si>
  <si>
    <t>Distance</t>
  </si>
  <si>
    <t>Therm Flux</t>
  </si>
  <si>
    <t>Probit Value</t>
  </si>
  <si>
    <t>Pr Distance</t>
  </si>
  <si>
    <t>Exposure, t, In sec.</t>
  </si>
  <si>
    <t>kW/sq. m</t>
  </si>
  <si>
    <t>Pr</t>
  </si>
  <si>
    <t>Feet</t>
  </si>
  <si>
    <t>((F283^2+($D$263/2)^2)^0.5)</t>
  </si>
  <si>
    <t xml:space="preserve">Probit Constants For BLEVE Fire </t>
  </si>
  <si>
    <t>Pr =A+B*LN(I^n*t)</t>
  </si>
  <si>
    <t xml:space="preserve">See Page 160, CPQRA </t>
  </si>
  <si>
    <t>"A" FACTOR</t>
  </si>
  <si>
    <t>By Eisenberg et al in 1975</t>
  </si>
  <si>
    <t>"B" FACTOR</t>
  </si>
  <si>
    <t>Consequences more conservative than by Mudan</t>
  </si>
  <si>
    <t>"n" FACTOR</t>
  </si>
  <si>
    <t>Fireball Durn</t>
  </si>
  <si>
    <t>Therm Flux At</t>
  </si>
  <si>
    <t xml:space="preserve">Grnd Dist, X, </t>
  </si>
  <si>
    <t>Tau</t>
  </si>
  <si>
    <t>Fireball Hazard</t>
  </si>
  <si>
    <t>Incid Therm</t>
  </si>
  <si>
    <t xml:space="preserve">Fireball </t>
  </si>
  <si>
    <t>Fireball Dur'n</t>
  </si>
  <si>
    <t>Fr Epicenter</t>
  </si>
  <si>
    <t>Atm Trans</t>
  </si>
  <si>
    <t>Case No.</t>
  </si>
  <si>
    <t>kW/sq. meter</t>
  </si>
  <si>
    <t>Exposure, sec</t>
  </si>
  <si>
    <t>Coeff,  "a"</t>
  </si>
  <si>
    <t>(1) US Threshold Of Pain</t>
  </si>
  <si>
    <t>(2) UK Threshold Of Pain</t>
  </si>
  <si>
    <t>(3) 1st Deg Burns</t>
  </si>
  <si>
    <t>(4) 2nd Deg Burns = LC01</t>
  </si>
  <si>
    <t>(5)10% Fatality</t>
  </si>
  <si>
    <t>(6) 50% Fatality</t>
  </si>
  <si>
    <t>(7) 90% Fatality</t>
  </si>
  <si>
    <t>(8) 99.9% Fatality</t>
  </si>
  <si>
    <t>Eisenberg Single Point Study, Tau By</t>
  </si>
  <si>
    <t>L</t>
  </si>
  <si>
    <t>Det Thermal Harard @ X  =</t>
  </si>
  <si>
    <t>ft.      meters =</t>
  </si>
  <si>
    <t>A solution example for</t>
  </si>
  <si>
    <t>b66 = d260=</t>
  </si>
  <si>
    <t>Max Fireball Duration, td =</t>
  </si>
  <si>
    <t>b70 = d261 =</t>
  </si>
  <si>
    <t>seconds</t>
  </si>
  <si>
    <t>A Constant</t>
  </si>
  <si>
    <t>b25 =</t>
  </si>
  <si>
    <t>B Constant</t>
  </si>
  <si>
    <t>b32 =</t>
  </si>
  <si>
    <t>lbs in flammable zone by Clancey</t>
  </si>
  <si>
    <t>C Constant</t>
  </si>
  <si>
    <t>Solution To Quardratic</t>
  </si>
  <si>
    <t>(1 = Roberts, 2 = CPQRA)</t>
  </si>
  <si>
    <t>Calc'd Grnd Dist, X,  Fr FB Epicenter =</t>
  </si>
  <si>
    <t>ft. by Eisenberg</t>
  </si>
  <si>
    <t>Hypot, L, ft =</t>
  </si>
  <si>
    <t>Hazard will be greater than</t>
  </si>
  <si>
    <t>No Soln L, ft =</t>
  </si>
  <si>
    <t>Checking Roberts Str Line Eqn For Tau based on two points  vs Tau By Pitblado in CPQRA.</t>
  </si>
  <si>
    <t>See Thermal Chart For Location</t>
  </si>
  <si>
    <t>Hypot, Meter</t>
  </si>
  <si>
    <t>Tau Calc'd</t>
  </si>
  <si>
    <t>Hazard will be less than</t>
  </si>
  <si>
    <t>Path Length For Transmissivity, PL</t>
  </si>
  <si>
    <t>Obtained From A.F. Roberts, 1982, p-187</t>
  </si>
  <si>
    <t>Probits Basis From J. Cook, Z Bahrami, and R.J. Whitehouse</t>
  </si>
  <si>
    <t>See Flash Fire Section</t>
  </si>
  <si>
    <t>From "A Comprehensive Program for Calculation of Radiation Levels From a Flame", Page 13</t>
  </si>
  <si>
    <t>Fireball Ht =</t>
  </si>
  <si>
    <t xml:space="preserve">     H</t>
  </si>
  <si>
    <t>Hypot =</t>
  </si>
  <si>
    <t>(H^2 + X^2)^0.5</t>
  </si>
  <si>
    <t>First Int'l Conf on Loss Of Containment, 12-14 Sept, 1989, London, Eisenberg et al</t>
  </si>
  <si>
    <t>slope</t>
  </si>
  <si>
    <t>b cobstant</t>
  </si>
  <si>
    <t>H = Dmax/2</t>
  </si>
  <si>
    <t>H =</t>
  </si>
  <si>
    <t>Grnd Dist =</t>
  </si>
  <si>
    <t>Based On Fig 2.33, p-161, Serious Injury / Fatality Levels For Thermal Radiation, by Mudan, 1984</t>
  </si>
  <si>
    <t>a = (4*PI()*td*kW/m2/Frac Rad/(Hc*2.325)/(Wtotal/2.204))</t>
  </si>
  <si>
    <t>Mudan Near 100% Fatalities</t>
  </si>
  <si>
    <t>Mean 50% Fatality</t>
  </si>
  <si>
    <t>Eisenberg 50% Fatal</t>
  </si>
  <si>
    <t>CPQRA</t>
  </si>
  <si>
    <t>Roberts</t>
  </si>
  <si>
    <t>X, meters</t>
  </si>
  <si>
    <t>F21 View fac</t>
  </si>
  <si>
    <t>PL, meters</t>
  </si>
  <si>
    <t>Pitblado Tau</t>
  </si>
  <si>
    <t>Hypot, m</t>
  </si>
  <si>
    <t>Tau Calcd</t>
  </si>
  <si>
    <t>2nd Deg Burns = 1% Fatalities</t>
  </si>
  <si>
    <t>1st Deg Burns</t>
  </si>
  <si>
    <t>Pain Threshold</t>
  </si>
  <si>
    <t>Single Point Case Study</t>
  </si>
  <si>
    <t>100-500m</t>
  </si>
  <si>
    <t>Blast Eff'y =</t>
  </si>
  <si>
    <t>Total =</t>
  </si>
  <si>
    <t>Student Problem: Damage Analysis Using The Still Air - Quantity Flashed - TNT Method By Gugan</t>
  </si>
  <si>
    <t>Student Example</t>
  </si>
  <si>
    <t>Input Data</t>
  </si>
  <si>
    <t>Assumed all as Cyclohexane</t>
  </si>
  <si>
    <t>(1 Ton = 2,000 lb)</t>
  </si>
  <si>
    <t>Liq</t>
  </si>
  <si>
    <t>Flash Vapor</t>
  </si>
  <si>
    <t>Step 1:  Calculate % Flash and Quantity Flashed Assuming No Liquid Entrainment</t>
  </si>
  <si>
    <t>(Cp)(T - Tb) / (Latent Heat at Tb)</t>
  </si>
  <si>
    <t>Quantity Flashed =</t>
  </si>
  <si>
    <t xml:space="preserve"> (% Flash)(Quantity Material)</t>
  </si>
  <si>
    <t>Step (2):  Calculate Volume Of Flashed Material at NTP</t>
  </si>
  <si>
    <t>Burning to CO2+H2O</t>
  </si>
  <si>
    <t>Assume Moles HC =</t>
  </si>
  <si>
    <t xml:space="preserve"> =(100)/20 =</t>
  </si>
  <si>
    <t xml:space="preserve"> = 5 * 9 =</t>
  </si>
  <si>
    <t>Moles (N2 + O2 + HC) / Mole HC =</t>
  </si>
  <si>
    <t xml:space="preserve"> = 45 + 1 =</t>
  </si>
  <si>
    <t>Step 2 Continued:</t>
  </si>
  <si>
    <t>At NTP (Temp = 32°F &amp; P = 14.7 psia) 1 Mole Gas occupies  =</t>
  </si>
  <si>
    <t>cu.ft</t>
  </si>
  <si>
    <t>V/n = (R)(T)/P</t>
  </si>
  <si>
    <t>At STP (Temp = 60°F &amp; P = 14.7 psia) 1 Mole Gas occupies  =</t>
  </si>
  <si>
    <t>(Moles Air +1HC)*359.13*Lbs Flashed/MW</t>
  </si>
  <si>
    <t>cu.ft.</t>
  </si>
  <si>
    <t>cu.m.</t>
  </si>
  <si>
    <t>Volume Hemisphere =</t>
  </si>
  <si>
    <t>Radius Of hemisphere at NTP =</t>
  </si>
  <si>
    <t>After Cloud explodes there will a great increase in temperature and a large increase in volume.</t>
  </si>
  <si>
    <t>At this time assume an 8 fold increase in volume for hydrocarbons</t>
  </si>
  <si>
    <t>Volume exploded cloud =</t>
  </si>
  <si>
    <t>Step 5: Determine Scaled Ground Distance at 10 psig PSO, Peak Incident Over Pressure For Surface Explsion.</t>
  </si>
  <si>
    <t>Note:</t>
  </si>
  <si>
    <t>Distance to 10 psig PSO is classed as Major Equipment Damage Zone</t>
  </si>
  <si>
    <t>ft./lb^0.333</t>
  </si>
  <si>
    <t>Step 6: Calculate W lbs TNT Equivalent in Scaled Ground Distance Equation</t>
  </si>
  <si>
    <t>ZG = (RG) / W^0.333</t>
  </si>
  <si>
    <t>Where</t>
  </si>
  <si>
    <t>ZG = 9.6 ft./lb^0.333</t>
  </si>
  <si>
    <t>W = lbs TNT Equivalent</t>
  </si>
  <si>
    <t>W =</t>
  </si>
  <si>
    <t>(RG / ZG)^3</t>
  </si>
  <si>
    <t>lbs TNT Equivalent</t>
  </si>
  <si>
    <t>Tons TNT Equiv.</t>
  </si>
  <si>
    <t>Step 7:  Calculate Blast Efficiency From</t>
  </si>
  <si>
    <t>Lbs TNT = (Eff'y)(lbs HC Flashed)(Heat Combustion) / 2000</t>
  </si>
  <si>
    <t xml:space="preserve">      From the Flixborough Analysis the following Blast Efficiencies can be used for pre-planning: </t>
  </si>
  <si>
    <t>For Old Congested Plants With Vertical Confinement Opportunity</t>
  </si>
  <si>
    <t>For Typical New Plant With Average Vertical Confinement Opportunity</t>
  </si>
  <si>
    <t>For Free Open Spaces With No Vertical Confinement</t>
  </si>
  <si>
    <t>Step 7:  Using Above Efficiency Calculate Distance To 5 psig PSO, the Maximum Extent Of Major Equipment Damage</t>
  </si>
  <si>
    <t>PSO, psig =</t>
  </si>
  <si>
    <t>At 5 psig, PSO, Scaled Ground Distance From Fig. 2.18 (Known as Spagetti Curves)</t>
  </si>
  <si>
    <t>ZG =</t>
  </si>
  <si>
    <t>From Fig 2.18</t>
  </si>
  <si>
    <t>RG =</t>
  </si>
  <si>
    <t xml:space="preserve"> (ZG)(W tnt eq.)^0.333</t>
  </si>
  <si>
    <t xml:space="preserve">ft </t>
  </si>
  <si>
    <t>Pentane Sphere</t>
  </si>
  <si>
    <t>C5H12</t>
  </si>
  <si>
    <t>Railcar</t>
  </si>
  <si>
    <t>CCPS QRA Guide - TNO Consts</t>
  </si>
  <si>
    <r>
      <t>p</t>
    </r>
    <r>
      <rPr>
        <sz val="10"/>
        <rFont val="Geneva"/>
        <family val="0"/>
      </rPr>
      <t>*R^3 / 1.5</t>
    </r>
  </si>
  <si>
    <r>
      <t>[(Volume at NTP)*1.5/</t>
    </r>
    <r>
      <rPr>
        <sz val="10"/>
        <rFont val="Symbol"/>
        <family val="1"/>
      </rPr>
      <t>p</t>
    </r>
    <r>
      <rPr>
        <sz val="10"/>
        <rFont val="Geneva"/>
        <family val="0"/>
      </rPr>
      <t>]^0.333</t>
    </r>
  </si>
  <si>
    <r>
      <t>[(Volume exploded cloud )*1.5/</t>
    </r>
    <r>
      <rPr>
        <sz val="10"/>
        <rFont val="Symbol"/>
        <family val="1"/>
      </rPr>
      <t>p</t>
    </r>
    <r>
      <rPr>
        <sz val="10"/>
        <rFont val="Geneva"/>
        <family val="0"/>
      </rPr>
      <t>]^0.333</t>
    </r>
  </si>
  <si>
    <t xml:space="preserve">Step 3:  Calculate Radius, Ro, Of Hemisphere at NTP </t>
  </si>
  <si>
    <t>Radius, Ro =</t>
  </si>
  <si>
    <t>Step 4:  Calculate Radius, Re, Of Exploded Cloud</t>
  </si>
  <si>
    <t>Radius Exploded Cloud, Re =</t>
  </si>
  <si>
    <t>20" Line Rupture at Opg Press</t>
  </si>
  <si>
    <t>°C</t>
  </si>
  <si>
    <t>defaults</t>
  </si>
  <si>
    <r>
      <t>kgm in flam=(2</t>
    </r>
    <r>
      <rPr>
        <sz val="10"/>
        <rFont val="Symbol"/>
        <family val="1"/>
      </rPr>
      <t>p</t>
    </r>
    <r>
      <rPr>
        <sz val="10"/>
        <rFont val="Geneva"/>
        <family val="0"/>
      </rPr>
      <t>)(C2)(m3.)=</t>
    </r>
  </si>
  <si>
    <t>DATE</t>
  </si>
  <si>
    <t>VESSEL</t>
  </si>
  <si>
    <t>5 - 24 TONNE VERTICAL PRESSURE VESSEL REACTORS</t>
  </si>
  <si>
    <t>FAILURE</t>
  </si>
  <si>
    <t>20 INCH TEMPORARY CONNECTING PIPE FAILED</t>
  </si>
  <si>
    <t>QUANTITY LOST</t>
  </si>
  <si>
    <t xml:space="preserve">40 TONNES LOST </t>
  </si>
  <si>
    <t>80 TONNES REMAINED IN VESSELS</t>
  </si>
  <si>
    <t>120 TONNES TOTAL IN SYSTEM</t>
  </si>
  <si>
    <t>FLOW DIRECTION</t>
  </si>
  <si>
    <t>UNKNOWN - INTO VERY CONGESTED AREA</t>
  </si>
  <si>
    <t>FLOW MODE</t>
  </si>
  <si>
    <t>PROBABLE IMPINGEMENT - LOSS OF MOMENTUM</t>
  </si>
  <si>
    <t>FLOW CONDITION</t>
  </si>
  <si>
    <t>36% FLASHING FROM VESSEL AT 145°C AND 120 PSIG</t>
  </si>
  <si>
    <t>NO LIQUID ENTRAINMENT ON FLASHING</t>
  </si>
  <si>
    <t>OBSERVATIONS</t>
  </si>
  <si>
    <t>INITIAL CLOUD 120 METER DIAMETER, UNKNOWN HEIGHT</t>
  </si>
  <si>
    <t>NO POOL FORMATION - NO RAINOUT</t>
  </si>
  <si>
    <t xml:space="preserve">LOW WIND SPEED AT - 1 M/S &amp; D STABILITY AS DEFAULTS </t>
  </si>
  <si>
    <t>LOCATION</t>
  </si>
  <si>
    <t>RURAL AREA</t>
  </si>
  <si>
    <t>NO NEARBY URBAN CENTER</t>
  </si>
  <si>
    <t>CONSEQUENCES</t>
  </si>
  <si>
    <t>28 KILLED</t>
  </si>
  <si>
    <t>53 KNOWN WOUNDED REQUIRED MEDICAL TREATMENT</t>
  </si>
  <si>
    <t>$425MM U.S. PROPERTY DAMAGE</t>
  </si>
  <si>
    <t>1,800 HOUSES DAMAGED IN RURAL AREA</t>
  </si>
  <si>
    <t>REASONS</t>
  </si>
  <si>
    <t>20 INCH PIPE JACK-KNIFED AT PRESSURE SOMEWHAT ABOVE NORMAL</t>
  </si>
  <si>
    <t>LARGE PIPE SPLIT ALLOWS CONTENTS TO FLASH TO ATMOSPHERE</t>
  </si>
  <si>
    <t>LESSONS LEARNED</t>
  </si>
  <si>
    <t>MORE CONTROL REQUIRED OF CHEMICAL PLANTS</t>
  </si>
  <si>
    <t>ALTHOUGH SITING WAS ADEQUATE, PLANT WAS TOO CONGESTED</t>
  </si>
  <si>
    <t>POOR MORAL, ENG'G DEPT UNDER REORGANIZATION, OVERWORKED STAFF</t>
  </si>
  <si>
    <t>AFTER WORKS ENG'R LEFT, ENGINEERING HAD NO QUALIFIED MECH ENGR</t>
  </si>
  <si>
    <t>POOR LOCATION AND CONSTRUCTION OF CONTROL ROOM</t>
  </si>
  <si>
    <t>MINIMIZE HAZARDOUS INVENTORIES</t>
  </si>
  <si>
    <t>MORE CONTROL OF CHANGES IN PLANT MODIFICATIONS</t>
  </si>
  <si>
    <t>HAZARD REVIEW REQUIRED</t>
  </si>
  <si>
    <t>ADHERE TO PRESSURE VESSEL REGULATIONS</t>
  </si>
  <si>
    <t>USE STANDARD ENGINEERING PRACTICE ON PLANT MODIFICATIONS</t>
  </si>
  <si>
    <t>BETTER INSTRUMENT CONTROL REQUIRED</t>
  </si>
  <si>
    <t>REQUIRE EMERGENCY PLANNING</t>
  </si>
  <si>
    <t>Large LPG</t>
  </si>
  <si>
    <t>Immediate</t>
  </si>
  <si>
    <t xml:space="preserve">Wind To </t>
  </si>
  <si>
    <t>Delayed</t>
  </si>
  <si>
    <t xml:space="preserve">Congested </t>
  </si>
  <si>
    <t>Ignited Jet</t>
  </si>
  <si>
    <t>Frequency</t>
  </si>
  <si>
    <t>Leakage</t>
  </si>
  <si>
    <t>Ignition</t>
  </si>
  <si>
    <t>Pop'd Area</t>
  </si>
  <si>
    <t>Area</t>
  </si>
  <si>
    <t>Points @ Tank</t>
  </si>
  <si>
    <t>Per Year</t>
  </si>
  <si>
    <t>A</t>
  </si>
  <si>
    <t>B</t>
  </si>
  <si>
    <t>C</t>
  </si>
  <si>
    <t>D</t>
  </si>
  <si>
    <t>E</t>
  </si>
  <si>
    <t>F</t>
  </si>
  <si>
    <t>Yes</t>
  </si>
  <si>
    <t>BLEVE</t>
  </si>
  <si>
    <t>Local Thermal</t>
  </si>
  <si>
    <t>Hazard</t>
  </si>
  <si>
    <t>No</t>
  </si>
  <si>
    <t>VCE</t>
  </si>
  <si>
    <t>Flash Fir</t>
  </si>
  <si>
    <t>&amp; BLEVE</t>
  </si>
  <si>
    <t>Large Leak</t>
  </si>
  <si>
    <t>Flash Fire</t>
  </si>
  <si>
    <t>Safe Dispersal</t>
  </si>
  <si>
    <t xml:space="preserve"> Event</t>
  </si>
  <si>
    <t>Freq or Prob</t>
  </si>
  <si>
    <t xml:space="preserve">              Source</t>
  </si>
  <si>
    <t xml:space="preserve"> Large Leak Of Pressurized Flammable</t>
  </si>
  <si>
    <t xml:space="preserve"> Fault Tree Analysis</t>
  </si>
  <si>
    <t xml:space="preserve"> Immediate Ignition at Tank</t>
  </si>
  <si>
    <t xml:space="preserve"> Expert Opinion</t>
  </si>
  <si>
    <t xml:space="preserve"> Wind Blowing Toward Populated Area</t>
  </si>
  <si>
    <t xml:space="preserve"> Wind Rose data</t>
  </si>
  <si>
    <t xml:space="preserve"> Delayed Ignition Near Populated Area</t>
  </si>
  <si>
    <t xml:space="preserve"> Congested Area w Vertical Confinement</t>
  </si>
  <si>
    <t xml:space="preserve"> Historical Data</t>
  </si>
  <si>
    <t xml:space="preserve"> Jet Flame Strikes Pressurized Vessel</t>
  </si>
  <si>
    <t xml:space="preserve"> Layout &amp; Piping Geometry</t>
  </si>
  <si>
    <t>Event Tree Outcomes and Frequencies</t>
  </si>
  <si>
    <t xml:space="preserve"> Outcome</t>
  </si>
  <si>
    <t xml:space="preserve"> Seq Leading to Outcome</t>
  </si>
  <si>
    <t>Total Freq/Yr</t>
  </si>
  <si>
    <t xml:space="preserve"> BLEVE</t>
  </si>
  <si>
    <t xml:space="preserve"> ABF</t>
  </si>
  <si>
    <t xml:space="preserve"> Flash Fire</t>
  </si>
  <si>
    <t xml:space="preserve"> AbCDef + AbcDef</t>
  </si>
  <si>
    <t xml:space="preserve"> Flash Fire and BLEVE</t>
  </si>
  <si>
    <t xml:space="preserve"> AbCDeF + AbcDeF</t>
  </si>
  <si>
    <t xml:space="preserve"> VCE</t>
  </si>
  <si>
    <t xml:space="preserve"> AbCDE + AbcDE</t>
  </si>
  <si>
    <t xml:space="preserve"> Local Thermal Hazard</t>
  </si>
  <si>
    <t xml:space="preserve"> ABf</t>
  </si>
  <si>
    <t xml:space="preserve"> Safe Dispersal</t>
  </si>
  <si>
    <t xml:space="preserve"> AbCd + Abcd</t>
  </si>
  <si>
    <t xml:space="preserve"> Note:   Upper Case Letters Follow "Yes" Route.</t>
  </si>
  <si>
    <t xml:space="preserve">            Lower Case Letters Follow "No" Route.</t>
  </si>
  <si>
    <t>Plot Mudan Full Duration Pt.</t>
  </si>
  <si>
    <t>1974 FLIXBOROUGH, U.K., CYCLOHEXANE DISASTER</t>
  </si>
  <si>
    <t>From Figure 2.18 in CPQRA, ZG =</t>
  </si>
  <si>
    <t>Molar ratio</t>
  </si>
  <si>
    <t>PSO = 257.7*(F141/($B$32*$B$25*$G$145/2000)^0.333333)^-1.468461</t>
  </si>
  <si>
    <t>&lt;&lt;&lt; L161 Line For Plotting</t>
  </si>
  <si>
    <t>A given from U.S. Army Surface Blast curves.</t>
  </si>
  <si>
    <t>Rg = exploded cloud radius = 404.62 feet.</t>
  </si>
  <si>
    <t>[(404.62)/(9.6)]^3</t>
  </si>
  <si>
    <t>(lbs TNT Equivalent)(2000)/ (Lbs Flashed)(Hc)</t>
  </si>
  <si>
    <t>[(74873)(2000)] / [(88,184)(18,700)]</t>
  </si>
  <si>
    <t xml:space="preserve">      A given from U.S. Atomic bomb tests in Nevada in 1950s</t>
  </si>
  <si>
    <t>(14.3)(74,873)^0.333</t>
  </si>
  <si>
    <t>Company X</t>
  </si>
  <si>
    <t>Basis: Know Your Insurer's Expectations, Fire Protection Design, Hydrocarbons Processing, August 1977,</t>
  </si>
  <si>
    <t xml:space="preserve">          p-103, by Robert W. Nelson.   Updated from Lihou's Table 4 - 8 Sep 96</t>
  </si>
  <si>
    <t>Overpressure, psig</t>
  </si>
  <si>
    <t>Equipment</t>
  </si>
  <si>
    <t>Control Rm, Stl Rf</t>
  </si>
  <si>
    <t>a</t>
  </si>
  <si>
    <t>c</t>
  </si>
  <si>
    <t>d</t>
  </si>
  <si>
    <t>n</t>
  </si>
  <si>
    <t>Control Rm, Conc Rf</t>
  </si>
  <si>
    <t>e</t>
  </si>
  <si>
    <t>p</t>
  </si>
  <si>
    <t>o</t>
  </si>
  <si>
    <t>Cooling Tower</t>
  </si>
  <si>
    <t>b</t>
  </si>
  <si>
    <t>f</t>
  </si>
  <si>
    <t>Tank: API Cone Roof</t>
  </si>
  <si>
    <t>k</t>
  </si>
  <si>
    <t>u</t>
  </si>
  <si>
    <t>Instrument Cubicle</t>
  </si>
  <si>
    <t>l,m</t>
  </si>
  <si>
    <t>t</t>
  </si>
  <si>
    <t>Furnace Heater</t>
  </si>
  <si>
    <t>g</t>
  </si>
  <si>
    <t>i</t>
  </si>
  <si>
    <t>Reactor: Chemical</t>
  </si>
  <si>
    <t>Filter</t>
  </si>
  <si>
    <t>h</t>
  </si>
  <si>
    <t>v</t>
  </si>
  <si>
    <t>Regenerator</t>
  </si>
  <si>
    <t>j</t>
  </si>
  <si>
    <t>i,p</t>
  </si>
  <si>
    <t>Tank: Float'g Roof</t>
  </si>
  <si>
    <t>Reactor: Cracking</t>
  </si>
  <si>
    <t>Pipe Line Supports</t>
  </si>
  <si>
    <t>s,o</t>
  </si>
  <si>
    <t>Utilities: Gas Meter</t>
  </si>
  <si>
    <t>q</t>
  </si>
  <si>
    <t>Utilities: Elec Transf</t>
  </si>
  <si>
    <t>l</t>
  </si>
  <si>
    <t>Electric Motor</t>
  </si>
  <si>
    <t>Blower</t>
  </si>
  <si>
    <t>Fractionation Tower</t>
  </si>
  <si>
    <t>r</t>
  </si>
  <si>
    <t>Press Vessel: Horiz</t>
  </si>
  <si>
    <t>p,i</t>
  </si>
  <si>
    <t>Utilities: Gas Regul</t>
  </si>
  <si>
    <t>m,q</t>
  </si>
  <si>
    <t>Extraction Column</t>
  </si>
  <si>
    <t>Steam Turbine</t>
  </si>
  <si>
    <t>m</t>
  </si>
  <si>
    <t>s</t>
  </si>
  <si>
    <t>Heat Exchanger</t>
  </si>
  <si>
    <t>Tank Sphere</t>
  </si>
  <si>
    <t>Press Vessel: Vert</t>
  </si>
  <si>
    <t>Pump</t>
  </si>
  <si>
    <t>Source: Stephens, M.M., Minimizing Damage To Refineries</t>
  </si>
  <si>
    <t>U.S. Dept. of the Interior</t>
  </si>
  <si>
    <t>Office of Oil and Gas, Feb., 1970.</t>
  </si>
  <si>
    <t>Code</t>
  </si>
  <si>
    <t>Windows and guages break.</t>
  </si>
  <si>
    <t>Power lines are severed.</t>
  </si>
  <si>
    <t>Louvers fail at 0.3 to 0.5 psig.</t>
  </si>
  <si>
    <t>Controls are damaged.</t>
  </si>
  <si>
    <t>Switch gear is damaged from roof collapse.</t>
  </si>
  <si>
    <t>Block wall fails</t>
  </si>
  <si>
    <t>Roof collapses</t>
  </si>
  <si>
    <t>Frame collapses.</t>
  </si>
  <si>
    <t>Instruments are damaged</t>
  </si>
  <si>
    <t>Frame deforms.</t>
  </si>
  <si>
    <t>Inner parts are damaged</t>
  </si>
  <si>
    <t>Case is damaged.</t>
  </si>
  <si>
    <t>Brick Cracks</t>
  </si>
  <si>
    <t>Frame cracks.</t>
  </si>
  <si>
    <t>Debris - Missle damage occurs.</t>
  </si>
  <si>
    <t>Piping breaks.</t>
  </si>
  <si>
    <t>Unit moves and pipe breaks.</t>
  </si>
  <si>
    <t>Unit overturns or is destroyed.</t>
  </si>
  <si>
    <t>Bracking fails</t>
  </si>
  <si>
    <t>Unit uplifts (90% filled).</t>
  </si>
  <si>
    <t>Unit uplifts - (50% filled).</t>
  </si>
  <si>
    <t>Unit moves on foundation.</t>
  </si>
  <si>
    <t>Depropanizer</t>
  </si>
  <si>
    <t>Tower Depressurization</t>
  </si>
  <si>
    <t>Hypot , m</t>
  </si>
  <si>
    <t xml:space="preserve">     Range Hypot = 173.18 to 519.61 meters</t>
  </si>
  <si>
    <t>m.</t>
  </si>
  <si>
    <t>Total yo - y13 =</t>
  </si>
  <si>
    <t>A = h/2(yo+2y1+2y2+....+yn) =</t>
  </si>
  <si>
    <r>
      <t xml:space="preserve">Flammable Conc'n, </t>
    </r>
    <r>
      <rPr>
        <b/>
        <sz val="10"/>
        <rFont val="Geneva"/>
        <family val="0"/>
      </rPr>
      <t>C2</t>
    </r>
    <r>
      <rPr>
        <sz val="10"/>
        <rFont val="Geneva"/>
        <family val="0"/>
      </rPr>
      <t>, at UEL</t>
    </r>
  </si>
  <si>
    <r>
      <t xml:space="preserve">Flammable Conc'n, </t>
    </r>
    <r>
      <rPr>
        <b/>
        <sz val="10"/>
        <rFont val="Geneva"/>
        <family val="0"/>
      </rPr>
      <t>C1</t>
    </r>
    <r>
      <rPr>
        <sz val="10"/>
        <rFont val="Geneva"/>
        <family val="0"/>
      </rPr>
      <t>, at LEL</t>
    </r>
  </si>
  <si>
    <t>Eisenberg LC50 Flux =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</si>
</sst>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\-yy"/>
    <numFmt numFmtId="170" formatCode="d\-mmm"/>
    <numFmt numFmtId="171" formatCode="m/d/yy\ h:mm"/>
    <numFmt numFmtId="172" formatCode="0.0000"/>
    <numFmt numFmtId="173" formatCode="0.00000"/>
    <numFmt numFmtId="174" formatCode="#,##0.0"/>
    <numFmt numFmtId="175" formatCode="0.000"/>
    <numFmt numFmtId="176" formatCode="0.0"/>
    <numFmt numFmtId="177" formatCode="#,##0.0000"/>
    <numFmt numFmtId="178" formatCode="0.000000"/>
    <numFmt numFmtId="179" formatCode="0.0000000"/>
    <numFmt numFmtId="180" formatCode="0.00000000"/>
    <numFmt numFmtId="181" formatCode="0.0E+00"/>
    <numFmt numFmtId="182" formatCode="0.0%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0"/>
    </font>
    <font>
      <sz val="10"/>
      <name val="Symbol"/>
      <family val="1"/>
    </font>
    <font>
      <b/>
      <sz val="10"/>
      <color indexed="9"/>
      <name val="Geneva"/>
      <family val="0"/>
    </font>
    <font>
      <b/>
      <sz val="18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10"/>
      <color indexed="9"/>
      <name val="Geneva"/>
      <family val="0"/>
    </font>
    <font>
      <b/>
      <sz val="20"/>
      <color indexed="9"/>
      <name val="Geneva"/>
      <family val="0"/>
    </font>
    <font>
      <b/>
      <sz val="8"/>
      <name val="Geneva"/>
      <family val="2"/>
    </font>
  </fonts>
  <fills count="10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8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left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" fontId="0" fillId="0" borderId="0" xfId="15" applyAlignment="1">
      <alignment horizontal="center"/>
    </xf>
    <xf numFmtId="4" fontId="0" fillId="0" borderId="0" xfId="15" applyAlignment="1">
      <alignment/>
    </xf>
    <xf numFmtId="172" fontId="0" fillId="0" borderId="0" xfId="0" applyNumberFormat="1" applyAlignment="1">
      <alignment/>
    </xf>
    <xf numFmtId="4" fontId="0" fillId="0" borderId="0" xfId="15" applyAlignment="1">
      <alignment horizontal="left"/>
    </xf>
    <xf numFmtId="3" fontId="0" fillId="0" borderId="0" xfId="0" applyNumberFormat="1" applyAlignment="1">
      <alignment horizontal="left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8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4" fontId="0" fillId="0" borderId="0" xfId="15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0" xfId="15" applyFont="1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/>
    </xf>
    <xf numFmtId="172" fontId="0" fillId="0" borderId="0" xfId="15" applyNumberFormat="1" applyAlignment="1">
      <alignment horizontal="center"/>
    </xf>
    <xf numFmtId="0" fontId="1" fillId="2" borderId="0" xfId="0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73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3" borderId="0" xfId="0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4" borderId="0" xfId="0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72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10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/>
    </xf>
    <xf numFmtId="4" fontId="0" fillId="3" borderId="11" xfId="0" applyNumberFormat="1" applyFill="1" applyBorder="1" applyAlignment="1">
      <alignment horizontal="center"/>
    </xf>
    <xf numFmtId="4" fontId="0" fillId="5" borderId="11" xfId="0" applyNumberFormat="1" applyFill="1" applyBorder="1" applyAlignment="1">
      <alignment horizontal="center"/>
    </xf>
    <xf numFmtId="0" fontId="1" fillId="4" borderId="0" xfId="0" applyFont="1" applyFill="1" applyAlignment="1">
      <alignment/>
    </xf>
    <xf numFmtId="173" fontId="1" fillId="4" borderId="0" xfId="0" applyNumberFormat="1" applyFont="1" applyFill="1" applyAlignment="1">
      <alignment horizontal="center"/>
    </xf>
    <xf numFmtId="4" fontId="1" fillId="4" borderId="0" xfId="15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6" borderId="0" xfId="0" applyFont="1" applyFill="1" applyAlignment="1">
      <alignment/>
    </xf>
    <xf numFmtId="0" fontId="1" fillId="2" borderId="11" xfId="0" applyFont="1" applyFill="1" applyBorder="1" applyAlignment="1">
      <alignment horizontal="center"/>
    </xf>
    <xf numFmtId="172" fontId="0" fillId="5" borderId="11" xfId="0" applyNumberFormat="1" applyFill="1" applyBorder="1" applyAlignment="1">
      <alignment horizontal="center"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18" fontId="0" fillId="0" borderId="0" xfId="0" applyNumberFormat="1" applyBorder="1" applyAlignment="1">
      <alignment/>
    </xf>
    <xf numFmtId="10" fontId="0" fillId="3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3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72" fontId="0" fillId="3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3" borderId="0" xfId="15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4" borderId="12" xfId="0" applyFont="1" applyFill="1" applyBorder="1" applyAlignment="1">
      <alignment/>
    </xf>
    <xf numFmtId="0" fontId="0" fillId="0" borderId="13" xfId="0" applyBorder="1" applyAlignment="1">
      <alignment/>
    </xf>
    <xf numFmtId="16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0" fillId="7" borderId="15" xfId="0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4" borderId="12" xfId="0" applyFont="1" applyFill="1" applyBorder="1" applyAlignment="1">
      <alignment horizontal="left"/>
    </xf>
    <xf numFmtId="2" fontId="0" fillId="4" borderId="13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/>
    </xf>
    <xf numFmtId="0" fontId="0" fillId="4" borderId="13" xfId="0" applyFill="1" applyBorder="1" applyAlignment="1">
      <alignment/>
    </xf>
    <xf numFmtId="2" fontId="0" fillId="0" borderId="0" xfId="0" applyNumberFormat="1" applyBorder="1" applyAlignment="1">
      <alignment horizontal="left"/>
    </xf>
    <xf numFmtId="4" fontId="0" fillId="3" borderId="0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3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0" borderId="15" xfId="0" applyBorder="1" applyAlignment="1">
      <alignment horizontal="left"/>
    </xf>
    <xf numFmtId="2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10" fontId="0" fillId="8" borderId="0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4" fontId="0" fillId="3" borderId="18" xfId="0" applyNumberFormat="1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0" fontId="0" fillId="0" borderId="18" xfId="0" applyBorder="1" applyAlignment="1">
      <alignment horizontal="left"/>
    </xf>
    <xf numFmtId="10" fontId="0" fillId="3" borderId="0" xfId="0" applyNumberFormat="1" applyFont="1" applyFill="1" applyBorder="1" applyAlignment="1">
      <alignment horizontal="center"/>
    </xf>
    <xf numFmtId="10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1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76" fontId="0" fillId="8" borderId="3" xfId="0" applyNumberFormat="1" applyFill="1" applyBorder="1" applyAlignment="1">
      <alignment horizontal="left"/>
    </xf>
    <xf numFmtId="176" fontId="0" fillId="8" borderId="5" xfId="0" applyNumberFormat="1" applyFill="1" applyBorder="1" applyAlignment="1">
      <alignment/>
    </xf>
    <xf numFmtId="2" fontId="0" fillId="8" borderId="6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0" fontId="0" fillId="5" borderId="3" xfId="0" applyFill="1" applyBorder="1" applyAlignment="1">
      <alignment/>
    </xf>
    <xf numFmtId="176" fontId="0" fillId="5" borderId="5" xfId="0" applyNumberFormat="1" applyFill="1" applyBorder="1" applyAlignment="1">
      <alignment horizontal="center"/>
    </xf>
    <xf numFmtId="176" fontId="0" fillId="5" borderId="7" xfId="0" applyNumberFormat="1" applyFill="1" applyBorder="1" applyAlignment="1">
      <alignment horizontal="center"/>
    </xf>
    <xf numFmtId="176" fontId="0" fillId="5" borderId="10" xfId="0" applyNumberFormat="1" applyFill="1" applyBorder="1" applyAlignment="1">
      <alignment horizontal="center"/>
    </xf>
    <xf numFmtId="176" fontId="0" fillId="5" borderId="6" xfId="15" applyNumberFormat="1" applyFill="1" applyBorder="1" applyAlignment="1">
      <alignment horizontal="center"/>
    </xf>
    <xf numFmtId="176" fontId="0" fillId="5" borderId="8" xfId="15" applyNumberForma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0" fontId="6" fillId="6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169" fontId="0" fillId="0" borderId="14" xfId="0" applyNumberFormat="1" applyBorder="1" applyAlignment="1">
      <alignment/>
    </xf>
    <xf numFmtId="18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2" fontId="0" fillId="0" borderId="15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/>
    </xf>
    <xf numFmtId="0" fontId="7" fillId="4" borderId="0" xfId="0" applyFont="1" applyFill="1" applyAlignment="1">
      <alignment/>
    </xf>
    <xf numFmtId="2" fontId="6" fillId="6" borderId="23" xfId="0" applyNumberFormat="1" applyFont="1" applyFill="1" applyBorder="1" applyAlignment="1">
      <alignment horizontal="center"/>
    </xf>
    <xf numFmtId="2" fontId="6" fillId="6" borderId="24" xfId="0" applyNumberFormat="1" applyFont="1" applyFill="1" applyBorder="1" applyAlignment="1">
      <alignment horizontal="center"/>
    </xf>
    <xf numFmtId="2" fontId="6" fillId="6" borderId="25" xfId="0" applyNumberFormat="1" applyFont="1" applyFill="1" applyBorder="1" applyAlignment="1">
      <alignment horizontal="center"/>
    </xf>
    <xf numFmtId="2" fontId="6" fillId="6" borderId="26" xfId="0" applyNumberFormat="1" applyFont="1" applyFill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26" xfId="0" applyFont="1" applyFill="1" applyBorder="1" applyAlignment="1">
      <alignment/>
    </xf>
    <xf numFmtId="0" fontId="1" fillId="8" borderId="23" xfId="0" applyFont="1" applyFill="1" applyBorder="1" applyAlignment="1">
      <alignment horizontal="center"/>
    </xf>
    <xf numFmtId="4" fontId="6" fillId="6" borderId="23" xfId="0" applyNumberFormat="1" applyFont="1" applyFill="1" applyBorder="1" applyAlignment="1">
      <alignment horizontal="center"/>
    </xf>
    <xf numFmtId="2" fontId="6" fillId="6" borderId="28" xfId="0" applyNumberFormat="1" applyFont="1" applyFill="1" applyBorder="1" applyAlignment="1">
      <alignment horizontal="center"/>
    </xf>
    <xf numFmtId="3" fontId="0" fillId="5" borderId="11" xfId="0" applyNumberFormat="1" applyFont="1" applyFill="1" applyBorder="1" applyAlignment="1">
      <alignment horizontal="center"/>
    </xf>
    <xf numFmtId="2" fontId="0" fillId="5" borderId="11" xfId="0" applyNumberFormat="1" applyFont="1" applyFill="1" applyBorder="1" applyAlignment="1">
      <alignment horizontal="center"/>
    </xf>
    <xf numFmtId="4" fontId="0" fillId="5" borderId="11" xfId="15" applyFont="1" applyFill="1" applyBorder="1" applyAlignment="1">
      <alignment horizontal="center"/>
    </xf>
    <xf numFmtId="172" fontId="0" fillId="5" borderId="11" xfId="0" applyNumberFormat="1" applyFont="1" applyFill="1" applyBorder="1" applyAlignment="1">
      <alignment horizontal="center"/>
    </xf>
    <xf numFmtId="172" fontId="0" fillId="5" borderId="11" xfId="0" applyNumberFormat="1" applyFill="1" applyBorder="1" applyAlignment="1">
      <alignment horizontal="left"/>
    </xf>
    <xf numFmtId="2" fontId="0" fillId="5" borderId="11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4" fontId="6" fillId="6" borderId="0" xfId="0" applyNumberFormat="1" applyFont="1" applyFill="1" applyBorder="1" applyAlignment="1">
      <alignment horizontal="center"/>
    </xf>
    <xf numFmtId="2" fontId="6" fillId="6" borderId="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10" fillId="9" borderId="0" xfId="0" applyFont="1" applyFill="1" applyAlignment="1">
      <alignment/>
    </xf>
    <xf numFmtId="0" fontId="11" fillId="9" borderId="0" xfId="0" applyFont="1" applyFill="1" applyAlignment="1">
      <alignment/>
    </xf>
    <xf numFmtId="0" fontId="6" fillId="9" borderId="0" xfId="0" applyFont="1" applyFill="1" applyAlignment="1">
      <alignment/>
    </xf>
    <xf numFmtId="169" fontId="6" fillId="9" borderId="0" xfId="0" applyNumberFormat="1" applyFont="1" applyFill="1" applyAlignment="1">
      <alignment horizontal="left"/>
    </xf>
    <xf numFmtId="0" fontId="0" fillId="4" borderId="0" xfId="0" applyFont="1" applyFill="1" applyAlignment="1">
      <alignment/>
    </xf>
    <xf numFmtId="0" fontId="0" fillId="5" borderId="11" xfId="0" applyFont="1" applyFill="1" applyBorder="1" applyAlignment="1">
      <alignment horizontal="center"/>
    </xf>
    <xf numFmtId="11" fontId="0" fillId="5" borderId="11" xfId="0" applyNumberFormat="1" applyFill="1" applyBorder="1" applyAlignment="1">
      <alignment horizontal="left"/>
    </xf>
    <xf numFmtId="10" fontId="0" fillId="3" borderId="11" xfId="0" applyNumberFormat="1" applyFill="1" applyBorder="1" applyAlignment="1">
      <alignment horizontal="center"/>
    </xf>
    <xf numFmtId="3" fontId="6" fillId="6" borderId="0" xfId="0" applyNumberFormat="1" applyFont="1" applyFill="1" applyBorder="1" applyAlignment="1">
      <alignment horizontal="center"/>
    </xf>
    <xf numFmtId="10" fontId="0" fillId="0" borderId="0" xfId="17" applyNumberForma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425"/>
          <c:w val="0.946"/>
          <c:h val="0.893"/>
        </c:manualLayout>
      </c:layout>
      <c:scatterChart>
        <c:scatterStyle val="lineMarker"/>
        <c:varyColors val="0"/>
        <c:ser>
          <c:idx val="0"/>
          <c:order val="0"/>
          <c:tx>
            <c:v>Clancey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Input!$H$162:$H$174</c:f>
              <c:numCache>
                <c:ptCount val="13"/>
                <c:pt idx="0">
                  <c:v>376.2373885220632</c:v>
                </c:pt>
                <c:pt idx="1">
                  <c:v>468.22933646050603</c:v>
                </c:pt>
                <c:pt idx="2">
                  <c:v>527.2581425155976</c:v>
                </c:pt>
                <c:pt idx="3">
                  <c:v>602.8371137849366</c:v>
                </c:pt>
                <c:pt idx="4">
                  <c:v>771.8422985716037</c:v>
                </c:pt>
                <c:pt idx="5">
                  <c:v>853.6417857182729</c:v>
                </c:pt>
                <c:pt idx="6">
                  <c:v>964.5859024219345</c:v>
                </c:pt>
                <c:pt idx="7">
                  <c:v>1053.450135757833</c:v>
                </c:pt>
                <c:pt idx="8">
                  <c:v>1125.1001484242172</c:v>
                </c:pt>
                <c:pt idx="9">
                  <c:v>1803.798872758438</c:v>
                </c:pt>
                <c:pt idx="10">
                  <c:v>2891.911780406068</c:v>
                </c:pt>
                <c:pt idx="11">
                  <c:v>3333.67969778149</c:v>
                </c:pt>
                <c:pt idx="12">
                  <c:v>6720.967701124066</c:v>
                </c:pt>
              </c:numCache>
            </c:numRef>
          </c:xVal>
          <c:yVal>
            <c:numRef>
              <c:f>Input!$I$162:$I$174</c:f>
              <c:numCache>
                <c:ptCount val="13"/>
                <c:pt idx="0">
                  <c:v>10.008703220191471</c:v>
                </c:pt>
                <c:pt idx="1">
                  <c:v>7.25268349289237</c:v>
                </c:pt>
                <c:pt idx="2">
                  <c:v>6.092254134029591</c:v>
                </c:pt>
                <c:pt idx="3">
                  <c:v>5.0043516100957355</c:v>
                </c:pt>
                <c:pt idx="4">
                  <c:v>3.4812880765883376</c:v>
                </c:pt>
                <c:pt idx="5">
                  <c:v>3.002610966057441</c:v>
                </c:pt>
                <c:pt idx="6">
                  <c:v>2.50942848854076</c:v>
                </c:pt>
                <c:pt idx="7">
                  <c:v>2.2048157818392804</c:v>
                </c:pt>
                <c:pt idx="8">
                  <c:v>2.001740644038294</c:v>
                </c:pt>
                <c:pt idx="9">
                  <c:v>1.000870322019147</c:v>
                </c:pt>
                <c:pt idx="10">
                  <c:v>0.5004351610095735</c:v>
                </c:pt>
                <c:pt idx="11">
                  <c:v>0.4061502756019727</c:v>
                </c:pt>
                <c:pt idx="12">
                  <c:v>0.1450536698578474</c:v>
                </c:pt>
              </c:numCache>
            </c:numRef>
          </c:yVal>
          <c:smooth val="0"/>
        </c:ser>
        <c:ser>
          <c:idx val="1"/>
          <c:order val="1"/>
          <c:tx>
            <c:v>Gugan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Input!$F$162:$F$174</c:f>
              <c:numCache>
                <c:ptCount val="13"/>
                <c:pt idx="0">
                  <c:v>376.2373885220632</c:v>
                </c:pt>
                <c:pt idx="1">
                  <c:v>468.22933646050603</c:v>
                </c:pt>
                <c:pt idx="2">
                  <c:v>527.2581425155976</c:v>
                </c:pt>
                <c:pt idx="3">
                  <c:v>602.8371137849366</c:v>
                </c:pt>
                <c:pt idx="4">
                  <c:v>771.8422985716037</c:v>
                </c:pt>
                <c:pt idx="5">
                  <c:v>853.6417857182729</c:v>
                </c:pt>
                <c:pt idx="6">
                  <c:v>964.5859024219345</c:v>
                </c:pt>
                <c:pt idx="7">
                  <c:v>1053.450135757833</c:v>
                </c:pt>
                <c:pt idx="8">
                  <c:v>1125.1001484242172</c:v>
                </c:pt>
                <c:pt idx="9">
                  <c:v>1803.798872758438</c:v>
                </c:pt>
                <c:pt idx="10">
                  <c:v>2891.911780406068</c:v>
                </c:pt>
                <c:pt idx="11">
                  <c:v>3333.67969778149</c:v>
                </c:pt>
                <c:pt idx="12">
                  <c:v>6720.967701124066</c:v>
                </c:pt>
              </c:numCache>
            </c:numRef>
          </c:xVal>
          <c:yVal>
            <c:numRef>
              <c:f>Input!$G$162:$G$174</c:f>
              <c:numCache>
                <c:ptCount val="13"/>
                <c:pt idx="0">
                  <c:v>10.008703220191471</c:v>
                </c:pt>
                <c:pt idx="1">
                  <c:v>7.25268349289237</c:v>
                </c:pt>
                <c:pt idx="2">
                  <c:v>6.092254134029591</c:v>
                </c:pt>
                <c:pt idx="3">
                  <c:v>5.0043516100957355</c:v>
                </c:pt>
                <c:pt idx="4">
                  <c:v>3.4812880765883376</c:v>
                </c:pt>
                <c:pt idx="5">
                  <c:v>3.002610966057441</c:v>
                </c:pt>
                <c:pt idx="6">
                  <c:v>2.50942848854076</c:v>
                </c:pt>
                <c:pt idx="7">
                  <c:v>2.2048157818392804</c:v>
                </c:pt>
                <c:pt idx="8">
                  <c:v>2.001740644038294</c:v>
                </c:pt>
                <c:pt idx="9">
                  <c:v>1.000870322019147</c:v>
                </c:pt>
                <c:pt idx="10">
                  <c:v>0.5004351610095735</c:v>
                </c:pt>
                <c:pt idx="11">
                  <c:v>0.4061502756019727</c:v>
                </c:pt>
                <c:pt idx="12">
                  <c:v>0.1450536698578474</c:v>
                </c:pt>
              </c:numCache>
            </c:numRef>
          </c:yVal>
          <c:smooth val="0"/>
        </c:ser>
        <c:ser>
          <c:idx val="2"/>
          <c:order val="2"/>
          <c:tx>
            <c:v>Flix Pts.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Input!$D$162:$D$182</c:f>
              <c:numCache>
                <c:ptCount val="21"/>
                <c:pt idx="0">
                  <c:v>410.1</c:v>
                </c:pt>
                <c:pt idx="1">
                  <c:v>393.696</c:v>
                </c:pt>
                <c:pt idx="2">
                  <c:v>524.928</c:v>
                </c:pt>
                <c:pt idx="3">
                  <c:v>426.504</c:v>
                </c:pt>
                <c:pt idx="4">
                  <c:v>442.908</c:v>
                </c:pt>
                <c:pt idx="5">
                  <c:v>721.7760000000001</c:v>
                </c:pt>
                <c:pt idx="6">
                  <c:v>754.5840000000001</c:v>
                </c:pt>
                <c:pt idx="7">
                  <c:v>754.5840000000001</c:v>
                </c:pt>
                <c:pt idx="8">
                  <c:v>951.432</c:v>
                </c:pt>
                <c:pt idx="9">
                  <c:v>951.432</c:v>
                </c:pt>
                <c:pt idx="10">
                  <c:v>1148.28</c:v>
                </c:pt>
                <c:pt idx="11">
                  <c:v>1099.068</c:v>
                </c:pt>
                <c:pt idx="12">
                  <c:v>1312.32</c:v>
                </c:pt>
                <c:pt idx="13">
                  <c:v>1755.228</c:v>
                </c:pt>
                <c:pt idx="14">
                  <c:v>2296.56</c:v>
                </c:pt>
                <c:pt idx="15">
                  <c:v>3100.356</c:v>
                </c:pt>
                <c:pt idx="16">
                  <c:v>2706.66</c:v>
                </c:pt>
                <c:pt idx="17">
                  <c:v>2903.5080000000003</c:v>
                </c:pt>
                <c:pt idx="18">
                  <c:v>3904.152</c:v>
                </c:pt>
                <c:pt idx="19">
                  <c:v>4412.676</c:v>
                </c:pt>
                <c:pt idx="20">
                  <c:v>4396.272</c:v>
                </c:pt>
              </c:numCache>
            </c:numRef>
          </c:xVal>
          <c:yVal>
            <c:numRef>
              <c:f>Input!$E$162:$E$182</c:f>
              <c:numCache>
                <c:ptCount val="21"/>
                <c:pt idx="0">
                  <c:v>8.703220191470844</c:v>
                </c:pt>
                <c:pt idx="1">
                  <c:v>7.25268349289237</c:v>
                </c:pt>
                <c:pt idx="2">
                  <c:v>5.076878445024659</c:v>
                </c:pt>
                <c:pt idx="3">
                  <c:v>7.25268349289237</c:v>
                </c:pt>
                <c:pt idx="4">
                  <c:v>8.703220191470844</c:v>
                </c:pt>
                <c:pt idx="5">
                  <c:v>3.9889759210908036</c:v>
                </c:pt>
                <c:pt idx="6">
                  <c:v>2.683492892370177</c:v>
                </c:pt>
                <c:pt idx="7">
                  <c:v>3.4812880765883376</c:v>
                </c:pt>
                <c:pt idx="8">
                  <c:v>2.683492892370177</c:v>
                </c:pt>
                <c:pt idx="9">
                  <c:v>2.683492892370177</c:v>
                </c:pt>
                <c:pt idx="10">
                  <c:v>2.030751378009864</c:v>
                </c:pt>
                <c:pt idx="11">
                  <c:v>2.030751378009864</c:v>
                </c:pt>
                <c:pt idx="12">
                  <c:v>1.7406440382941688</c:v>
                </c:pt>
                <c:pt idx="13">
                  <c:v>1.5955903684363215</c:v>
                </c:pt>
                <c:pt idx="14">
                  <c:v>0.507687844502466</c:v>
                </c:pt>
                <c:pt idx="15">
                  <c:v>0.253843922251233</c:v>
                </c:pt>
                <c:pt idx="16">
                  <c:v>0.3988975921090804</c:v>
                </c:pt>
                <c:pt idx="17">
                  <c:v>0.6527415143603134</c:v>
                </c:pt>
                <c:pt idx="18">
                  <c:v>0.3626341746446185</c:v>
                </c:pt>
                <c:pt idx="19">
                  <c:v>0.253843922251233</c:v>
                </c:pt>
                <c:pt idx="20">
                  <c:v>0.253843922251233</c:v>
                </c:pt>
              </c:numCache>
            </c:numRef>
          </c:yVal>
          <c:smooth val="0"/>
        </c:ser>
        <c:ser>
          <c:idx val="3"/>
          <c:order val="3"/>
          <c:tx>
            <c:v>Edge Of Cloud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Input!$H$177:$H$178</c:f>
              <c:numCache>
                <c:ptCount val="2"/>
                <c:pt idx="0">
                  <c:v>376.2373885220632</c:v>
                </c:pt>
                <c:pt idx="1">
                  <c:v>376.2373885220632</c:v>
                </c:pt>
              </c:numCache>
            </c:numRef>
          </c:xVal>
          <c:yVal>
            <c:numRef>
              <c:f>Input!$I$177:$I$178</c:f>
              <c:numCache>
                <c:ptCount val="2"/>
                <c:pt idx="0">
                  <c:v>10.008703220191471</c:v>
                </c:pt>
                <c:pt idx="1">
                  <c:v>0.1</c:v>
                </c:pt>
              </c:numCache>
            </c:numRef>
          </c:yVal>
          <c:smooth val="0"/>
        </c:ser>
        <c:axId val="13935808"/>
        <c:axId val="58313409"/>
      </c:scatterChart>
      <c:valAx>
        <c:axId val="13935808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From Vessel, Feet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crossAx val="58313409"/>
        <c:crosses val="autoZero"/>
        <c:crossBetween val="midCat"/>
        <c:dispUnits/>
      </c:valAx>
      <c:valAx>
        <c:axId val="58313409"/>
        <c:scaling>
          <c:logBase val="10"/>
          <c:orientation val="minMax"/>
          <c:max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PSO in psig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39358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102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 2.33:  Serious Injury/Fatality Levels For Thermal Radiation (Mudan, 1984), CPQRA, p-161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75"/>
          <c:w val="0.7567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v>Near 100% Fatal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Input!$B$301:$B$302</c:f>
              <c:numCache>
                <c:ptCount val="2"/>
                <c:pt idx="0">
                  <c:v>1000</c:v>
                </c:pt>
                <c:pt idx="1">
                  <c:v>25</c:v>
                </c:pt>
              </c:numCache>
            </c:numRef>
          </c:xVal>
          <c:yVal>
            <c:numRef>
              <c:f>Input!$C$301:$C$302</c:f>
              <c:numCache>
                <c:ptCount val="2"/>
                <c:pt idx="0">
                  <c:v>0.75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Mean 50% Fatal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Input!$D$301:$D$302</c:f>
              <c:numCache>
                <c:ptCount val="2"/>
                <c:pt idx="0">
                  <c:v>1000</c:v>
                </c:pt>
                <c:pt idx="1">
                  <c:v>15</c:v>
                </c:pt>
              </c:numCache>
            </c:numRef>
          </c:xVal>
          <c:yVal>
            <c:numRef>
              <c:f>Input!$E$301:$E$302</c:f>
              <c:numCache>
                <c:ptCount val="2"/>
                <c:pt idx="0">
                  <c:v>0.4</c:v>
                </c:pt>
                <c:pt idx="1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2nd Deg Burns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Input!$B$304:$B$305</c:f>
              <c:numCache>
                <c:ptCount val="2"/>
                <c:pt idx="0">
                  <c:v>967.15</c:v>
                </c:pt>
                <c:pt idx="1">
                  <c:v>5.4387</c:v>
                </c:pt>
              </c:numCache>
            </c:numRef>
          </c:xVal>
          <c:yVal>
            <c:numRef>
              <c:f>Input!$C$304:$C$305</c:f>
              <c:numCache>
                <c:ptCount val="2"/>
                <c:pt idx="0">
                  <c:v>0.13</c:v>
                </c:pt>
                <c:pt idx="1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1st Deg Burns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Input!$D$304:$D$305</c:f>
              <c:numCache>
                <c:ptCount val="2"/>
                <c:pt idx="0">
                  <c:v>538.44</c:v>
                </c:pt>
                <c:pt idx="1">
                  <c:v>3.0279</c:v>
                </c:pt>
              </c:numCache>
            </c:numRef>
          </c:xVal>
          <c:yVal>
            <c:numRef>
              <c:f>Input!$E$304:$E$305</c:f>
              <c:numCache>
                <c:ptCount val="2"/>
                <c:pt idx="0">
                  <c:v>0.1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v>Pain Threshold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Input!$D$307:$D$308</c:f>
              <c:numCache>
                <c:ptCount val="2"/>
                <c:pt idx="0">
                  <c:v>254.12</c:v>
                </c:pt>
                <c:pt idx="1">
                  <c:v>1.429</c:v>
                </c:pt>
              </c:numCache>
            </c:numRef>
          </c:xVal>
          <c:yVal>
            <c:numRef>
              <c:f>Input!$E$307:$E$308</c:f>
              <c:numCache>
                <c:ptCount val="2"/>
                <c:pt idx="0">
                  <c:v>0.1</c:v>
                </c:pt>
                <c:pt idx="1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v>Mudan LC50 Pt.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Input!$B$310:$B$311</c:f>
              <c:numCache>
                <c:ptCount val="2"/>
                <c:pt idx="0">
                  <c:v>56.3736191177725</c:v>
                </c:pt>
                <c:pt idx="1">
                  <c:v>56.3736191177725</c:v>
                </c:pt>
              </c:numCache>
            </c:numRef>
          </c:xVal>
          <c:yVal>
            <c:numRef>
              <c:f>Input!$C$310:$C$311</c:f>
              <c:numCache>
                <c:ptCount val="2"/>
                <c:pt idx="0">
                  <c:v>17.471425785845103</c:v>
                </c:pt>
                <c:pt idx="1">
                  <c:v>17.471425785845103</c:v>
                </c:pt>
              </c:numCache>
            </c:numRef>
          </c:yVal>
          <c:smooth val="0"/>
        </c:ser>
        <c:ser>
          <c:idx val="6"/>
          <c:order val="6"/>
          <c:tx>
            <c:v>Single Pt. Case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Input!$D$310:$D$311</c:f>
              <c:numCache>
                <c:ptCount val="2"/>
                <c:pt idx="0">
                  <c:v>20.12589592801303</c:v>
                </c:pt>
                <c:pt idx="1">
                  <c:v>20.12589592801303</c:v>
                </c:pt>
              </c:numCache>
            </c:numRef>
          </c:xVal>
          <c:yVal>
            <c:numRef>
              <c:f>Input!$E$310:$E$311</c:f>
              <c:numCache>
                <c:ptCount val="2"/>
                <c:pt idx="0">
                  <c:v>17.471425785845103</c:v>
                </c:pt>
                <c:pt idx="1">
                  <c:v>17.471425785845103</c:v>
                </c:pt>
              </c:numCache>
            </c:numRef>
          </c:yVal>
          <c:smooth val="0"/>
        </c:ser>
        <c:ser>
          <c:idx val="7"/>
          <c:order val="7"/>
          <c:tx>
            <c:v>Eisenberg LC50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Input!$F$301:$F$302</c:f>
              <c:numCache>
                <c:ptCount val="2"/>
                <c:pt idx="0">
                  <c:v>1000</c:v>
                </c:pt>
                <c:pt idx="1">
                  <c:v>10.762306803501271</c:v>
                </c:pt>
              </c:numCache>
            </c:numRef>
          </c:xVal>
          <c:yVal>
            <c:numRef>
              <c:f>Input!$G$301:$G$302</c:f>
              <c:numCache>
                <c:ptCount val="2"/>
                <c:pt idx="0">
                  <c:v>0.23761530107785617</c:v>
                </c:pt>
                <c:pt idx="1">
                  <c:v>100</c:v>
                </c:pt>
              </c:numCache>
            </c:numRef>
          </c:yVal>
          <c:smooth val="0"/>
        </c:ser>
        <c:axId val="55058634"/>
        <c:axId val="25765659"/>
      </c:scatterChart>
      <c:valAx>
        <c:axId val="5505863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Incident Thermal Flux, kW/sq m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crossAx val="25765659"/>
        <c:crosses val="autoZero"/>
        <c:crossBetween val="midCat"/>
        <c:dispUnits/>
      </c:valAx>
      <c:valAx>
        <c:axId val="25765659"/>
        <c:scaling>
          <c:logBase val="10"/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Time 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50586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857750" y="10668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57750" y="1066800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4867275" y="17049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5</xdr:col>
      <xdr:colOff>0</xdr:colOff>
      <xdr:row>8</xdr:row>
      <xdr:rowOff>85725</xdr:rowOff>
    </xdr:to>
    <xdr:sp>
      <xdr:nvSpPr>
        <xdr:cNvPr id="4" name="Line 4"/>
        <xdr:cNvSpPr>
          <a:spLocks/>
        </xdr:cNvSpPr>
      </xdr:nvSpPr>
      <xdr:spPr>
        <a:xfrm>
          <a:off x="971550" y="13811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85725</xdr:rowOff>
    </xdr:from>
    <xdr:to>
      <xdr:col>1</xdr:col>
      <xdr:colOff>0</xdr:colOff>
      <xdr:row>24</xdr:row>
      <xdr:rowOff>85725</xdr:rowOff>
    </xdr:to>
    <xdr:sp>
      <xdr:nvSpPr>
        <xdr:cNvPr id="5" name="Line 5"/>
        <xdr:cNvSpPr>
          <a:spLocks/>
        </xdr:cNvSpPr>
      </xdr:nvSpPr>
      <xdr:spPr>
        <a:xfrm>
          <a:off x="9525" y="397192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27</xdr:row>
      <xdr:rowOff>85725</xdr:rowOff>
    </xdr:to>
    <xdr:sp>
      <xdr:nvSpPr>
        <xdr:cNvPr id="6" name="Line 6"/>
        <xdr:cNvSpPr>
          <a:spLocks/>
        </xdr:cNvSpPr>
      </xdr:nvSpPr>
      <xdr:spPr>
        <a:xfrm>
          <a:off x="971550" y="1381125"/>
          <a:ext cx="0" cy="3076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0</xdr:colOff>
      <xdr:row>29</xdr:row>
      <xdr:rowOff>85725</xdr:rowOff>
    </xdr:to>
    <xdr:sp>
      <xdr:nvSpPr>
        <xdr:cNvPr id="7" name="Line 7"/>
        <xdr:cNvSpPr>
          <a:spLocks/>
        </xdr:cNvSpPr>
      </xdr:nvSpPr>
      <xdr:spPr>
        <a:xfrm>
          <a:off x="971550" y="44577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85725</xdr:rowOff>
    </xdr:from>
    <xdr:to>
      <xdr:col>2</xdr:col>
      <xdr:colOff>0</xdr:colOff>
      <xdr:row>29</xdr:row>
      <xdr:rowOff>85725</xdr:rowOff>
    </xdr:to>
    <xdr:sp>
      <xdr:nvSpPr>
        <xdr:cNvPr id="8" name="Line 8"/>
        <xdr:cNvSpPr>
          <a:spLocks/>
        </xdr:cNvSpPr>
      </xdr:nvSpPr>
      <xdr:spPr>
        <a:xfrm>
          <a:off x="971550" y="47815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76200</xdr:rowOff>
    </xdr:from>
    <xdr:to>
      <xdr:col>3</xdr:col>
      <xdr:colOff>0</xdr:colOff>
      <xdr:row>22</xdr:row>
      <xdr:rowOff>76200</xdr:rowOff>
    </xdr:to>
    <xdr:sp>
      <xdr:nvSpPr>
        <xdr:cNvPr id="9" name="Line 9"/>
        <xdr:cNvSpPr>
          <a:spLocks/>
        </xdr:cNvSpPr>
      </xdr:nvSpPr>
      <xdr:spPr>
        <a:xfrm>
          <a:off x="1952625" y="3638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76200</xdr:rowOff>
    </xdr:from>
    <xdr:to>
      <xdr:col>2</xdr:col>
      <xdr:colOff>0</xdr:colOff>
      <xdr:row>36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943100" y="3638550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38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1943100" y="5915025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76200</xdr:rowOff>
    </xdr:from>
    <xdr:to>
      <xdr:col>3</xdr:col>
      <xdr:colOff>0</xdr:colOff>
      <xdr:row>38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943100" y="62293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76200</xdr:rowOff>
    </xdr:from>
    <xdr:to>
      <xdr:col>3</xdr:col>
      <xdr:colOff>0</xdr:colOff>
      <xdr:row>24</xdr:row>
      <xdr:rowOff>76200</xdr:rowOff>
    </xdr:to>
    <xdr:sp>
      <xdr:nvSpPr>
        <xdr:cNvPr id="13" name="Line 13"/>
        <xdr:cNvSpPr>
          <a:spLocks/>
        </xdr:cNvSpPr>
      </xdr:nvSpPr>
      <xdr:spPr>
        <a:xfrm flipV="1">
          <a:off x="2914650" y="315277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76200</xdr:rowOff>
    </xdr:from>
    <xdr:to>
      <xdr:col>4</xdr:col>
      <xdr:colOff>0</xdr:colOff>
      <xdr:row>19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2914650" y="31527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76200</xdr:rowOff>
    </xdr:from>
    <xdr:to>
      <xdr:col>3</xdr:col>
      <xdr:colOff>0</xdr:colOff>
      <xdr:row>26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2914650" y="396240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5</xdr:col>
      <xdr:colOff>857250</xdr:colOff>
      <xdr:row>26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914650" y="4295775"/>
          <a:ext cx="280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4</xdr:col>
      <xdr:colOff>0</xdr:colOff>
      <xdr:row>21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3886200" y="2514600"/>
          <a:ext cx="0" cy="971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857250</xdr:colOff>
      <xdr:row>15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3886200" y="25146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85725</xdr:rowOff>
    </xdr:from>
    <xdr:to>
      <xdr:col>5</xdr:col>
      <xdr:colOff>0</xdr:colOff>
      <xdr:row>21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3886200" y="34861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5</xdr:col>
      <xdr:colOff>0</xdr:colOff>
      <xdr:row>23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4857750" y="31527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5</xdr:col>
      <xdr:colOff>857250</xdr:colOff>
      <xdr:row>19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4857750" y="31527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85725</xdr:rowOff>
    </xdr:from>
    <xdr:to>
      <xdr:col>5</xdr:col>
      <xdr:colOff>857250</xdr:colOff>
      <xdr:row>23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4857750" y="38100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886200" y="510540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85725</xdr:rowOff>
    </xdr:from>
    <xdr:to>
      <xdr:col>5</xdr:col>
      <xdr:colOff>857250</xdr:colOff>
      <xdr:row>35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4857750" y="57531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85725</xdr:rowOff>
    </xdr:from>
    <xdr:to>
      <xdr:col>5</xdr:col>
      <xdr:colOff>0</xdr:colOff>
      <xdr:row>39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4857750" y="5753100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4857750" y="64008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76200</xdr:rowOff>
    </xdr:from>
    <xdr:to>
      <xdr:col>5</xdr:col>
      <xdr:colOff>0</xdr:colOff>
      <xdr:row>37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3886200" y="60674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0</xdr:colOff>
      <xdr:row>37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3886200" y="51054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76200</xdr:rowOff>
    </xdr:from>
    <xdr:to>
      <xdr:col>4</xdr:col>
      <xdr:colOff>0</xdr:colOff>
      <xdr:row>34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2914650" y="55816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76200</xdr:rowOff>
    </xdr:from>
    <xdr:to>
      <xdr:col>6</xdr:col>
      <xdr:colOff>0</xdr:colOff>
      <xdr:row>42</xdr:row>
      <xdr:rowOff>76200</xdr:rowOff>
    </xdr:to>
    <xdr:sp>
      <xdr:nvSpPr>
        <xdr:cNvPr id="30" name="Line 30"/>
        <xdr:cNvSpPr>
          <a:spLocks/>
        </xdr:cNvSpPr>
      </xdr:nvSpPr>
      <xdr:spPr>
        <a:xfrm flipH="1">
          <a:off x="2924175" y="6877050"/>
          <a:ext cx="287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76200</xdr:rowOff>
    </xdr:from>
    <xdr:to>
      <xdr:col>3</xdr:col>
      <xdr:colOff>0</xdr:colOff>
      <xdr:row>42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2914650" y="5581650"/>
          <a:ext cx="0" cy="1295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47625</xdr:colOff>
      <xdr:row>43</xdr:row>
      <xdr:rowOff>76200</xdr:rowOff>
    </xdr:from>
    <xdr:to>
      <xdr:col>7</xdr:col>
      <xdr:colOff>733425</xdr:colOff>
      <xdr:row>43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6819900" y="70389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291</xdr:row>
      <xdr:rowOff>114300</xdr:rowOff>
    </xdr:from>
    <xdr:to>
      <xdr:col>11</xdr:col>
      <xdr:colOff>57150</xdr:colOff>
      <xdr:row>295</xdr:row>
      <xdr:rowOff>85725</xdr:rowOff>
    </xdr:to>
    <xdr:sp>
      <xdr:nvSpPr>
        <xdr:cNvPr id="1" name="Oval 39"/>
        <xdr:cNvSpPr>
          <a:spLocks/>
        </xdr:cNvSpPr>
      </xdr:nvSpPr>
      <xdr:spPr>
        <a:xfrm>
          <a:off x="12001500" y="47424975"/>
          <a:ext cx="58102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647700</xdr:colOff>
      <xdr:row>356</xdr:row>
      <xdr:rowOff>95250</xdr:rowOff>
    </xdr:from>
    <xdr:to>
      <xdr:col>5</xdr:col>
      <xdr:colOff>209550</xdr:colOff>
      <xdr:row>358</xdr:row>
      <xdr:rowOff>9525</xdr:rowOff>
    </xdr:to>
    <xdr:sp>
      <xdr:nvSpPr>
        <xdr:cNvPr id="2" name="Oval 24"/>
        <xdr:cNvSpPr>
          <a:spLocks/>
        </xdr:cNvSpPr>
      </xdr:nvSpPr>
      <xdr:spPr>
        <a:xfrm>
          <a:off x="6591300" y="57940575"/>
          <a:ext cx="6858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647700</xdr:colOff>
      <xdr:row>349</xdr:row>
      <xdr:rowOff>47625</xdr:rowOff>
    </xdr:from>
    <xdr:to>
      <xdr:col>5</xdr:col>
      <xdr:colOff>209550</xdr:colOff>
      <xdr:row>350</xdr:row>
      <xdr:rowOff>152400</xdr:rowOff>
    </xdr:to>
    <xdr:sp>
      <xdr:nvSpPr>
        <xdr:cNvPr id="3" name="Oval 22"/>
        <xdr:cNvSpPr>
          <a:spLocks/>
        </xdr:cNvSpPr>
      </xdr:nvSpPr>
      <xdr:spPr>
        <a:xfrm>
          <a:off x="6591300" y="56759475"/>
          <a:ext cx="6858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590550</xdr:colOff>
      <xdr:row>392</xdr:row>
      <xdr:rowOff>152400</xdr:rowOff>
    </xdr:from>
    <xdr:to>
      <xdr:col>5</xdr:col>
      <xdr:colOff>819150</xdr:colOff>
      <xdr:row>405</xdr:row>
      <xdr:rowOff>38100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63827025"/>
          <a:ext cx="24765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647700</xdr:colOff>
      <xdr:row>350</xdr:row>
      <xdr:rowOff>28575</xdr:rowOff>
    </xdr:from>
    <xdr:to>
      <xdr:col>5</xdr:col>
      <xdr:colOff>209550</xdr:colOff>
      <xdr:row>357</xdr:row>
      <xdr:rowOff>38100</xdr:rowOff>
    </xdr:to>
    <xdr:sp>
      <xdr:nvSpPr>
        <xdr:cNvPr id="5" name="Rectangle 18"/>
        <xdr:cNvSpPr>
          <a:spLocks/>
        </xdr:cNvSpPr>
      </xdr:nvSpPr>
      <xdr:spPr>
        <a:xfrm>
          <a:off x="6591300" y="56902350"/>
          <a:ext cx="6858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885825</xdr:colOff>
      <xdr:row>348</xdr:row>
      <xdr:rowOff>28575</xdr:rowOff>
    </xdr:from>
    <xdr:to>
      <xdr:col>5</xdr:col>
      <xdr:colOff>142875</xdr:colOff>
      <xdr:row>349</xdr:row>
      <xdr:rowOff>47625</xdr:rowOff>
    </xdr:to>
    <xdr:sp>
      <xdr:nvSpPr>
        <xdr:cNvPr id="6" name="Line 25"/>
        <xdr:cNvSpPr>
          <a:spLocks/>
        </xdr:cNvSpPr>
      </xdr:nvSpPr>
      <xdr:spPr>
        <a:xfrm flipV="1">
          <a:off x="6829425" y="56578500"/>
          <a:ext cx="3810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647700</xdr:colOff>
      <xdr:row>353</xdr:row>
      <xdr:rowOff>0</xdr:rowOff>
    </xdr:from>
    <xdr:to>
      <xdr:col>5</xdr:col>
      <xdr:colOff>209550</xdr:colOff>
      <xdr:row>353</xdr:row>
      <xdr:rowOff>0</xdr:rowOff>
    </xdr:to>
    <xdr:sp>
      <xdr:nvSpPr>
        <xdr:cNvPr id="7" name="Line 26"/>
        <xdr:cNvSpPr>
          <a:spLocks/>
        </xdr:cNvSpPr>
      </xdr:nvSpPr>
      <xdr:spPr>
        <a:xfrm>
          <a:off x="6591300" y="573595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4</xdr:col>
      <xdr:colOff>685800</xdr:colOff>
      <xdr:row>354</xdr:row>
      <xdr:rowOff>76200</xdr:rowOff>
    </xdr:from>
    <xdr:to>
      <xdr:col>5</xdr:col>
      <xdr:colOff>466725</xdr:colOff>
      <xdr:row>355</xdr:row>
      <xdr:rowOff>85725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57597675"/>
          <a:ext cx="904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438150</xdr:colOff>
      <xdr:row>278</xdr:row>
      <xdr:rowOff>114300</xdr:rowOff>
    </xdr:from>
    <xdr:to>
      <xdr:col>4</xdr:col>
      <xdr:colOff>438150</xdr:colOff>
      <xdr:row>280</xdr:row>
      <xdr:rowOff>0</xdr:rowOff>
    </xdr:to>
    <xdr:sp>
      <xdr:nvSpPr>
        <xdr:cNvPr id="9" name="Line 28"/>
        <xdr:cNvSpPr>
          <a:spLocks/>
        </xdr:cNvSpPr>
      </xdr:nvSpPr>
      <xdr:spPr>
        <a:xfrm>
          <a:off x="6381750" y="453199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438150</xdr:colOff>
      <xdr:row>280</xdr:row>
      <xdr:rowOff>0</xdr:rowOff>
    </xdr:from>
    <xdr:to>
      <xdr:col>5</xdr:col>
      <xdr:colOff>361950</xdr:colOff>
      <xdr:row>280</xdr:row>
      <xdr:rowOff>0</xdr:rowOff>
    </xdr:to>
    <xdr:sp>
      <xdr:nvSpPr>
        <xdr:cNvPr id="10" name="Line 30"/>
        <xdr:cNvSpPr>
          <a:spLocks/>
        </xdr:cNvSpPr>
      </xdr:nvSpPr>
      <xdr:spPr>
        <a:xfrm>
          <a:off x="6381750" y="4552950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438150</xdr:colOff>
      <xdr:row>278</xdr:row>
      <xdr:rowOff>114300</xdr:rowOff>
    </xdr:from>
    <xdr:to>
      <xdr:col>5</xdr:col>
      <xdr:colOff>352425</xdr:colOff>
      <xdr:row>280</xdr:row>
      <xdr:rowOff>0</xdr:rowOff>
    </xdr:to>
    <xdr:sp>
      <xdr:nvSpPr>
        <xdr:cNvPr id="11" name="Line 31"/>
        <xdr:cNvSpPr>
          <a:spLocks/>
        </xdr:cNvSpPr>
      </xdr:nvSpPr>
      <xdr:spPr>
        <a:xfrm>
          <a:off x="6381750" y="45319950"/>
          <a:ext cx="10382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723900</xdr:colOff>
      <xdr:row>68</xdr:row>
      <xdr:rowOff>76200</xdr:rowOff>
    </xdr:from>
    <xdr:to>
      <xdr:col>6</xdr:col>
      <xdr:colOff>390525</xdr:colOff>
      <xdr:row>70</xdr:row>
      <xdr:rowOff>95250</xdr:rowOff>
    </xdr:to>
    <xdr:grpSp>
      <xdr:nvGrpSpPr>
        <xdr:cNvPr id="12" name="Group 35"/>
        <xdr:cNvGrpSpPr>
          <a:grpSpLocks/>
        </xdr:cNvGrpSpPr>
      </xdr:nvGrpSpPr>
      <xdr:grpSpPr>
        <a:xfrm>
          <a:off x="7791450" y="11115675"/>
          <a:ext cx="790575" cy="352425"/>
          <a:chOff x="-9250" y="-669652"/>
          <a:chExt cx="18250" cy="180"/>
        </a:xfrm>
        <a:solidFill>
          <a:srgbClr val="FFFFFF"/>
        </a:solidFill>
      </xdr:grpSpPr>
      <xdr:sp>
        <xdr:nvSpPr>
          <xdr:cNvPr id="13" name="Line 32"/>
          <xdr:cNvSpPr>
            <a:spLocks/>
          </xdr:cNvSpPr>
        </xdr:nvSpPr>
        <xdr:spPr>
          <a:xfrm>
            <a:off x="-9250" y="-669652"/>
            <a:ext cx="0" cy="1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" name="Line 33"/>
          <xdr:cNvSpPr>
            <a:spLocks/>
          </xdr:cNvSpPr>
        </xdr:nvSpPr>
        <xdr:spPr>
          <a:xfrm>
            <a:off x="-9250" y="-669472"/>
            <a:ext cx="182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Line 34"/>
          <xdr:cNvSpPr>
            <a:spLocks/>
          </xdr:cNvSpPr>
        </xdr:nvSpPr>
        <xdr:spPr>
          <a:xfrm flipH="1" flipV="1">
            <a:off x="-9250" y="-669652"/>
            <a:ext cx="18250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10</xdr:col>
      <xdr:colOff>647700</xdr:colOff>
      <xdr:row>293</xdr:row>
      <xdr:rowOff>76200</xdr:rowOff>
    </xdr:from>
    <xdr:to>
      <xdr:col>10</xdr:col>
      <xdr:colOff>647700</xdr:colOff>
      <xdr:row>295</xdr:row>
      <xdr:rowOff>95250</xdr:rowOff>
    </xdr:to>
    <xdr:sp>
      <xdr:nvSpPr>
        <xdr:cNvPr id="16" name="Line 36"/>
        <xdr:cNvSpPr>
          <a:spLocks/>
        </xdr:cNvSpPr>
      </xdr:nvSpPr>
      <xdr:spPr>
        <a:xfrm>
          <a:off x="12306300" y="47710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647700</xdr:colOff>
      <xdr:row>295</xdr:row>
      <xdr:rowOff>95250</xdr:rowOff>
    </xdr:from>
    <xdr:to>
      <xdr:col>11</xdr:col>
      <xdr:colOff>400050</xdr:colOff>
      <xdr:row>295</xdr:row>
      <xdr:rowOff>95250</xdr:rowOff>
    </xdr:to>
    <xdr:sp>
      <xdr:nvSpPr>
        <xdr:cNvPr id="17" name="Line 37"/>
        <xdr:cNvSpPr>
          <a:spLocks/>
        </xdr:cNvSpPr>
      </xdr:nvSpPr>
      <xdr:spPr>
        <a:xfrm>
          <a:off x="12306300" y="48053625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647700</xdr:colOff>
      <xdr:row>293</xdr:row>
      <xdr:rowOff>76200</xdr:rowOff>
    </xdr:from>
    <xdr:to>
      <xdr:col>11</xdr:col>
      <xdr:colOff>400050</xdr:colOff>
      <xdr:row>295</xdr:row>
      <xdr:rowOff>95250</xdr:rowOff>
    </xdr:to>
    <xdr:sp>
      <xdr:nvSpPr>
        <xdr:cNvPr id="18" name="Line 38"/>
        <xdr:cNvSpPr>
          <a:spLocks/>
        </xdr:cNvSpPr>
      </xdr:nvSpPr>
      <xdr:spPr>
        <a:xfrm flipH="1" flipV="1">
          <a:off x="12306300" y="47710725"/>
          <a:ext cx="6191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133350</xdr:colOff>
      <xdr:row>293</xdr:row>
      <xdr:rowOff>76200</xdr:rowOff>
    </xdr:from>
    <xdr:to>
      <xdr:col>10</xdr:col>
      <xdr:colOff>647700</xdr:colOff>
      <xdr:row>293</xdr:row>
      <xdr:rowOff>76200</xdr:rowOff>
    </xdr:to>
    <xdr:sp>
      <xdr:nvSpPr>
        <xdr:cNvPr id="19" name="Line 40"/>
        <xdr:cNvSpPr>
          <a:spLocks/>
        </xdr:cNvSpPr>
      </xdr:nvSpPr>
      <xdr:spPr>
        <a:xfrm flipH="1">
          <a:off x="11791950" y="4771072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133350</xdr:colOff>
      <xdr:row>295</xdr:row>
      <xdr:rowOff>95250</xdr:rowOff>
    </xdr:from>
    <xdr:to>
      <xdr:col>10</xdr:col>
      <xdr:colOff>504825</xdr:colOff>
      <xdr:row>295</xdr:row>
      <xdr:rowOff>95250</xdr:rowOff>
    </xdr:to>
    <xdr:sp>
      <xdr:nvSpPr>
        <xdr:cNvPr id="20" name="Line 41"/>
        <xdr:cNvSpPr>
          <a:spLocks/>
        </xdr:cNvSpPr>
      </xdr:nvSpPr>
      <xdr:spPr>
        <a:xfrm flipH="1">
          <a:off x="11791950" y="480536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485775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0295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400050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9438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285750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4400550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46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0" cy="749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2" sqref="A2"/>
    </sheetView>
  </sheetViews>
  <sheetFormatPr defaultColWidth="9.00390625" defaultRowHeight="12.75"/>
  <cols>
    <col min="1" max="1" width="20.875" style="0" customWidth="1"/>
    <col min="2" max="2" width="13.75390625" style="0" customWidth="1"/>
    <col min="3" max="16384" width="11.375" style="0" customWidth="1"/>
  </cols>
  <sheetData>
    <row r="1" spans="1:9" ht="12.75">
      <c r="A1" s="223"/>
      <c r="B1" s="223"/>
      <c r="C1" s="223"/>
      <c r="D1" s="223"/>
      <c r="E1" s="223"/>
      <c r="F1" s="223"/>
      <c r="G1" s="223"/>
      <c r="H1" s="223"/>
      <c r="I1" s="223"/>
    </row>
    <row r="2" spans="1:9" ht="23.25">
      <c r="A2" s="197" t="s">
        <v>731</v>
      </c>
      <c r="B2" s="227"/>
      <c r="C2" s="227"/>
      <c r="D2" s="227"/>
      <c r="E2" s="227"/>
      <c r="F2" s="227"/>
      <c r="G2" s="227"/>
      <c r="H2" s="223"/>
      <c r="I2" s="223"/>
    </row>
    <row r="3" spans="1:9" ht="12.75" customHeight="1">
      <c r="A3" s="224"/>
      <c r="B3" s="223"/>
      <c r="C3" s="223"/>
      <c r="D3" s="223"/>
      <c r="E3" s="223"/>
      <c r="F3" s="223"/>
      <c r="G3" s="223"/>
      <c r="H3" s="223"/>
      <c r="I3" s="223"/>
    </row>
    <row r="4" spans="1:9" ht="12.75" customHeight="1">
      <c r="A4" s="224"/>
      <c r="B4" s="223"/>
      <c r="C4" s="223"/>
      <c r="D4" s="223"/>
      <c r="E4" s="223"/>
      <c r="F4" s="223"/>
      <c r="G4" s="223"/>
      <c r="H4" s="223"/>
      <c r="I4" s="223"/>
    </row>
    <row r="5" spans="1:9" ht="12.75">
      <c r="A5" s="223"/>
      <c r="B5" s="223"/>
      <c r="C5" s="223"/>
      <c r="D5" s="223"/>
      <c r="E5" s="223"/>
      <c r="F5" s="223"/>
      <c r="G5" s="223"/>
      <c r="H5" s="223"/>
      <c r="I5" s="223"/>
    </row>
    <row r="6" spans="1:9" ht="12.75">
      <c r="A6" s="225" t="s">
        <v>624</v>
      </c>
      <c r="B6" s="226">
        <v>25719</v>
      </c>
      <c r="C6" s="223"/>
      <c r="D6" s="223"/>
      <c r="E6" s="223"/>
      <c r="F6" s="223"/>
      <c r="G6" s="223"/>
      <c r="H6" s="223"/>
      <c r="I6" s="223"/>
    </row>
    <row r="7" spans="1:9" ht="12.75">
      <c r="A7" s="225"/>
      <c r="B7" s="226"/>
      <c r="C7" s="223"/>
      <c r="D7" s="223"/>
      <c r="E7" s="223"/>
      <c r="F7" s="223"/>
      <c r="G7" s="223"/>
      <c r="H7" s="223"/>
      <c r="I7" s="223"/>
    </row>
    <row r="8" spans="1:9" ht="12.75">
      <c r="A8" s="225"/>
      <c r="B8" s="225"/>
      <c r="C8" s="223"/>
      <c r="D8" s="223"/>
      <c r="E8" s="223"/>
      <c r="F8" s="223"/>
      <c r="G8" s="223"/>
      <c r="H8" s="223"/>
      <c r="I8" s="223"/>
    </row>
    <row r="9" spans="1:9" ht="12.75">
      <c r="A9" s="225" t="s">
        <v>625</v>
      </c>
      <c r="B9" s="225" t="s">
        <v>626</v>
      </c>
      <c r="C9" s="223"/>
      <c r="D9" s="223"/>
      <c r="E9" s="223"/>
      <c r="F9" s="223"/>
      <c r="G9" s="223"/>
      <c r="H9" s="223"/>
      <c r="I9" s="223"/>
    </row>
    <row r="10" spans="1:9" ht="12.75">
      <c r="A10" s="225"/>
      <c r="B10" s="225"/>
      <c r="C10" s="223"/>
      <c r="D10" s="223"/>
      <c r="E10" s="223"/>
      <c r="F10" s="223"/>
      <c r="G10" s="223"/>
      <c r="H10" s="223"/>
      <c r="I10" s="223"/>
    </row>
    <row r="11" spans="1:9" ht="12.75">
      <c r="A11" s="225"/>
      <c r="B11" s="225"/>
      <c r="C11" s="223"/>
      <c r="D11" s="223"/>
      <c r="E11" s="223"/>
      <c r="F11" s="223"/>
      <c r="G11" s="223"/>
      <c r="H11" s="223"/>
      <c r="I11" s="223"/>
    </row>
    <row r="12" spans="1:9" ht="12.75">
      <c r="A12" s="225" t="s">
        <v>627</v>
      </c>
      <c r="B12" s="225" t="s">
        <v>628</v>
      </c>
      <c r="C12" s="223"/>
      <c r="D12" s="223"/>
      <c r="E12" s="223"/>
      <c r="F12" s="223"/>
      <c r="G12" s="223"/>
      <c r="H12" s="223"/>
      <c r="I12" s="223"/>
    </row>
    <row r="13" spans="1:9" ht="12.75">
      <c r="A13" s="225"/>
      <c r="B13" s="225"/>
      <c r="C13" s="223"/>
      <c r="D13" s="223"/>
      <c r="E13" s="223"/>
      <c r="F13" s="223"/>
      <c r="G13" s="223"/>
      <c r="H13" s="223"/>
      <c r="I13" s="223"/>
    </row>
    <row r="14" spans="1:9" ht="12.75">
      <c r="A14" s="225"/>
      <c r="B14" s="225"/>
      <c r="C14" s="223"/>
      <c r="D14" s="223"/>
      <c r="E14" s="223"/>
      <c r="F14" s="223"/>
      <c r="G14" s="223"/>
      <c r="H14" s="223"/>
      <c r="I14" s="223"/>
    </row>
    <row r="15" spans="1:9" ht="12.75">
      <c r="A15" s="225" t="s">
        <v>629</v>
      </c>
      <c r="B15" s="225" t="s">
        <v>630</v>
      </c>
      <c r="C15" s="223"/>
      <c r="D15" s="223"/>
      <c r="E15" s="223"/>
      <c r="F15" s="223"/>
      <c r="G15" s="223"/>
      <c r="H15" s="223"/>
      <c r="I15" s="223"/>
    </row>
    <row r="16" spans="1:9" ht="12.75">
      <c r="A16" s="225"/>
      <c r="B16" s="225" t="s">
        <v>631</v>
      </c>
      <c r="C16" s="223"/>
      <c r="D16" s="223"/>
      <c r="E16" s="223"/>
      <c r="F16" s="223"/>
      <c r="G16" s="223"/>
      <c r="H16" s="223"/>
      <c r="I16" s="223"/>
    </row>
    <row r="17" spans="1:9" ht="12.75">
      <c r="A17" s="225"/>
      <c r="B17" s="225" t="s">
        <v>632</v>
      </c>
      <c r="C17" s="223"/>
      <c r="D17" s="223"/>
      <c r="E17" s="223"/>
      <c r="F17" s="223"/>
      <c r="G17" s="223"/>
      <c r="H17" s="223"/>
      <c r="I17" s="223"/>
    </row>
    <row r="18" spans="1:9" ht="12.75">
      <c r="A18" s="225"/>
      <c r="B18" s="225"/>
      <c r="C18" s="223"/>
      <c r="D18" s="223"/>
      <c r="E18" s="223"/>
      <c r="F18" s="223"/>
      <c r="G18" s="223"/>
      <c r="H18" s="223"/>
      <c r="I18" s="223"/>
    </row>
    <row r="19" spans="1:9" ht="12.75">
      <c r="A19" s="225" t="s">
        <v>633</v>
      </c>
      <c r="B19" s="225" t="s">
        <v>634</v>
      </c>
      <c r="C19" s="223"/>
      <c r="D19" s="223"/>
      <c r="E19" s="223"/>
      <c r="F19" s="223"/>
      <c r="G19" s="223"/>
      <c r="H19" s="223"/>
      <c r="I19" s="223"/>
    </row>
    <row r="20" spans="1:9" ht="12.75">
      <c r="A20" s="225" t="s">
        <v>635</v>
      </c>
      <c r="B20" s="225" t="s">
        <v>636</v>
      </c>
      <c r="C20" s="223"/>
      <c r="D20" s="223"/>
      <c r="E20" s="223"/>
      <c r="F20" s="223"/>
      <c r="G20" s="223"/>
      <c r="H20" s="223"/>
      <c r="I20" s="223"/>
    </row>
    <row r="21" spans="1:9" ht="12.75">
      <c r="A21" s="225" t="s">
        <v>637</v>
      </c>
      <c r="B21" s="225" t="s">
        <v>638</v>
      </c>
      <c r="C21" s="223"/>
      <c r="D21" s="223"/>
      <c r="E21" s="223"/>
      <c r="F21" s="223"/>
      <c r="G21" s="223"/>
      <c r="H21" s="223"/>
      <c r="I21" s="223"/>
    </row>
    <row r="22" spans="1:9" ht="12.75">
      <c r="A22" s="225"/>
      <c r="B22" s="225" t="s">
        <v>639</v>
      </c>
      <c r="C22" s="223"/>
      <c r="D22" s="223"/>
      <c r="E22" s="223"/>
      <c r="F22" s="223"/>
      <c r="G22" s="223"/>
      <c r="H22" s="223"/>
      <c r="I22" s="223"/>
    </row>
    <row r="23" spans="1:9" ht="12.75">
      <c r="A23" s="225"/>
      <c r="B23" s="225"/>
      <c r="C23" s="223"/>
      <c r="D23" s="223"/>
      <c r="E23" s="223"/>
      <c r="F23" s="223"/>
      <c r="G23" s="223"/>
      <c r="H23" s="223"/>
      <c r="I23" s="223"/>
    </row>
    <row r="24" spans="1:9" ht="12.75">
      <c r="A24" s="225"/>
      <c r="B24" s="225"/>
      <c r="C24" s="223"/>
      <c r="D24" s="223"/>
      <c r="E24" s="223"/>
      <c r="F24" s="223"/>
      <c r="G24" s="223"/>
      <c r="H24" s="223"/>
      <c r="I24" s="223"/>
    </row>
    <row r="25" spans="1:9" ht="12.75">
      <c r="A25" s="225" t="s">
        <v>640</v>
      </c>
      <c r="B25" s="225" t="s">
        <v>641</v>
      </c>
      <c r="C25" s="223"/>
      <c r="D25" s="223"/>
      <c r="E25" s="223"/>
      <c r="F25" s="223"/>
      <c r="G25" s="223"/>
      <c r="H25" s="223"/>
      <c r="I25" s="223"/>
    </row>
    <row r="26" spans="1:9" ht="12.75">
      <c r="A26" s="225"/>
      <c r="B26" s="225" t="s">
        <v>642</v>
      </c>
      <c r="C26" s="223"/>
      <c r="D26" s="223"/>
      <c r="E26" s="223"/>
      <c r="F26" s="223"/>
      <c r="G26" s="223"/>
      <c r="H26" s="223"/>
      <c r="I26" s="223"/>
    </row>
    <row r="27" spans="1:9" ht="12.75">
      <c r="A27" s="225"/>
      <c r="B27" s="225" t="s">
        <v>643</v>
      </c>
      <c r="C27" s="223"/>
      <c r="D27" s="223"/>
      <c r="E27" s="223"/>
      <c r="F27" s="223"/>
      <c r="G27" s="223"/>
      <c r="H27" s="223"/>
      <c r="I27" s="223"/>
    </row>
    <row r="28" spans="1:9" ht="12.75">
      <c r="A28" s="225"/>
      <c r="B28" s="225"/>
      <c r="C28" s="223"/>
      <c r="D28" s="223"/>
      <c r="E28" s="223"/>
      <c r="F28" s="223"/>
      <c r="G28" s="223"/>
      <c r="H28" s="223"/>
      <c r="I28" s="223"/>
    </row>
    <row r="29" spans="1:9" ht="12.75">
      <c r="A29" s="225"/>
      <c r="B29" s="225"/>
      <c r="C29" s="223"/>
      <c r="D29" s="223"/>
      <c r="E29" s="223"/>
      <c r="F29" s="223"/>
      <c r="G29" s="223"/>
      <c r="H29" s="223"/>
      <c r="I29" s="223"/>
    </row>
    <row r="30" spans="1:9" ht="12.75">
      <c r="A30" s="225" t="s">
        <v>644</v>
      </c>
      <c r="B30" s="225" t="s">
        <v>645</v>
      </c>
      <c r="C30" s="223"/>
      <c r="D30" s="223"/>
      <c r="E30" s="223"/>
      <c r="F30" s="223"/>
      <c r="G30" s="223"/>
      <c r="H30" s="223"/>
      <c r="I30" s="223"/>
    </row>
    <row r="31" spans="1:9" ht="12.75">
      <c r="A31" s="225"/>
      <c r="B31" s="225" t="s">
        <v>646</v>
      </c>
      <c r="C31" s="223"/>
      <c r="D31" s="223"/>
      <c r="E31" s="223"/>
      <c r="F31" s="223"/>
      <c r="G31" s="223"/>
      <c r="H31" s="223"/>
      <c r="I31" s="223"/>
    </row>
    <row r="32" spans="1:9" ht="12.75">
      <c r="A32" s="225"/>
      <c r="B32" s="225"/>
      <c r="C32" s="223"/>
      <c r="D32" s="223"/>
      <c r="E32" s="223"/>
      <c r="F32" s="223"/>
      <c r="G32" s="223"/>
      <c r="H32" s="223"/>
      <c r="I32" s="223"/>
    </row>
    <row r="33" spans="1:9" ht="12.75">
      <c r="A33" s="225"/>
      <c r="B33" s="225"/>
      <c r="C33" s="223"/>
      <c r="D33" s="223"/>
      <c r="E33" s="223"/>
      <c r="F33" s="223"/>
      <c r="G33" s="223"/>
      <c r="H33" s="223"/>
      <c r="I33" s="223"/>
    </row>
    <row r="34" spans="1:9" ht="12.75">
      <c r="A34" s="225" t="s">
        <v>647</v>
      </c>
      <c r="B34" s="225" t="s">
        <v>648</v>
      </c>
      <c r="C34" s="223"/>
      <c r="D34" s="223"/>
      <c r="E34" s="223"/>
      <c r="F34" s="223"/>
      <c r="G34" s="223"/>
      <c r="H34" s="223"/>
      <c r="I34" s="223"/>
    </row>
    <row r="35" spans="1:9" ht="12.75">
      <c r="A35" s="225"/>
      <c r="B35" s="225" t="s">
        <v>649</v>
      </c>
      <c r="C35" s="223"/>
      <c r="D35" s="223"/>
      <c r="E35" s="223"/>
      <c r="F35" s="223"/>
      <c r="G35" s="223"/>
      <c r="H35" s="223"/>
      <c r="I35" s="223"/>
    </row>
    <row r="36" spans="1:9" ht="12.75">
      <c r="A36" s="225"/>
      <c r="B36" s="225" t="s">
        <v>650</v>
      </c>
      <c r="C36" s="223"/>
      <c r="D36" s="223"/>
      <c r="E36" s="223"/>
      <c r="F36" s="223"/>
      <c r="G36" s="223"/>
      <c r="H36" s="223"/>
      <c r="I36" s="223"/>
    </row>
    <row r="37" spans="1:9" ht="12.75">
      <c r="A37" s="225"/>
      <c r="B37" s="225" t="s">
        <v>651</v>
      </c>
      <c r="C37" s="223"/>
      <c r="D37" s="223"/>
      <c r="E37" s="223"/>
      <c r="F37" s="223"/>
      <c r="G37" s="223"/>
      <c r="H37" s="223"/>
      <c r="I37" s="223"/>
    </row>
    <row r="38" spans="1:9" ht="12.75">
      <c r="A38" s="225"/>
      <c r="B38" s="225"/>
      <c r="C38" s="223"/>
      <c r="D38" s="223"/>
      <c r="E38" s="223"/>
      <c r="F38" s="223"/>
      <c r="G38" s="223"/>
      <c r="H38" s="223"/>
      <c r="I38" s="223"/>
    </row>
    <row r="39" spans="1:9" ht="12.75">
      <c r="A39" s="225"/>
      <c r="B39" s="225"/>
      <c r="C39" s="223"/>
      <c r="D39" s="223"/>
      <c r="E39" s="223"/>
      <c r="F39" s="223"/>
      <c r="G39" s="223"/>
      <c r="H39" s="223"/>
      <c r="I39" s="223"/>
    </row>
    <row r="40" spans="1:9" ht="12.75">
      <c r="A40" s="225" t="s">
        <v>652</v>
      </c>
      <c r="B40" s="225" t="s">
        <v>653</v>
      </c>
      <c r="C40" s="223"/>
      <c r="D40" s="223"/>
      <c r="E40" s="223"/>
      <c r="F40" s="223"/>
      <c r="G40" s="223"/>
      <c r="H40" s="223"/>
      <c r="I40" s="223"/>
    </row>
    <row r="41" spans="1:9" ht="12.75">
      <c r="A41" s="225"/>
      <c r="B41" s="225" t="s">
        <v>654</v>
      </c>
      <c r="C41" s="223"/>
      <c r="D41" s="223"/>
      <c r="E41" s="223"/>
      <c r="F41" s="223"/>
      <c r="G41" s="223"/>
      <c r="H41" s="223"/>
      <c r="I41" s="223"/>
    </row>
    <row r="42" spans="1:9" ht="12.75">
      <c r="A42" s="225"/>
      <c r="B42" s="225"/>
      <c r="C42" s="223"/>
      <c r="D42" s="223"/>
      <c r="E42" s="223"/>
      <c r="F42" s="223"/>
      <c r="G42" s="223"/>
      <c r="H42" s="223"/>
      <c r="I42" s="223"/>
    </row>
    <row r="43" spans="1:9" ht="12.75">
      <c r="A43" s="223"/>
      <c r="B43" s="223"/>
      <c r="C43" s="223"/>
      <c r="D43" s="223"/>
      <c r="E43" s="223"/>
      <c r="F43" s="223"/>
      <c r="G43" s="223"/>
      <c r="H43" s="223"/>
      <c r="I43" s="223"/>
    </row>
    <row r="44" spans="1:9" ht="12.75">
      <c r="A44" s="225" t="s">
        <v>655</v>
      </c>
      <c r="B44" s="225" t="s">
        <v>656</v>
      </c>
      <c r="C44" s="223"/>
      <c r="D44" s="223"/>
      <c r="E44" s="223"/>
      <c r="F44" s="223"/>
      <c r="G44" s="223"/>
      <c r="H44" s="223"/>
      <c r="I44" s="223"/>
    </row>
    <row r="45" spans="1:9" ht="12.75">
      <c r="A45" s="225"/>
      <c r="B45" s="225" t="s">
        <v>657</v>
      </c>
      <c r="C45" s="223"/>
      <c r="D45" s="223"/>
      <c r="E45" s="223"/>
      <c r="F45" s="223"/>
      <c r="G45" s="223"/>
      <c r="H45" s="223"/>
      <c r="I45" s="223"/>
    </row>
    <row r="46" spans="1:9" ht="12.75">
      <c r="A46" s="225"/>
      <c r="B46" s="225" t="s">
        <v>658</v>
      </c>
      <c r="C46" s="223"/>
      <c r="D46" s="223"/>
      <c r="E46" s="223"/>
      <c r="F46" s="223"/>
      <c r="G46" s="223"/>
      <c r="H46" s="223"/>
      <c r="I46" s="223"/>
    </row>
    <row r="47" spans="1:9" ht="12.75">
      <c r="A47" s="225"/>
      <c r="B47" s="225" t="s">
        <v>659</v>
      </c>
      <c r="C47" s="223"/>
      <c r="D47" s="223"/>
      <c r="E47" s="223"/>
      <c r="F47" s="223"/>
      <c r="G47" s="223"/>
      <c r="H47" s="223"/>
      <c r="I47" s="223"/>
    </row>
    <row r="48" spans="1:9" ht="12.75">
      <c r="A48" s="225"/>
      <c r="B48" s="225" t="s">
        <v>660</v>
      </c>
      <c r="C48" s="223"/>
      <c r="D48" s="223"/>
      <c r="E48" s="223"/>
      <c r="F48" s="223"/>
      <c r="G48" s="223"/>
      <c r="H48" s="223"/>
      <c r="I48" s="223"/>
    </row>
    <row r="49" spans="1:9" ht="12.75">
      <c r="A49" s="225"/>
      <c r="B49" s="225" t="s">
        <v>661</v>
      </c>
      <c r="C49" s="223"/>
      <c r="D49" s="223"/>
      <c r="E49" s="223"/>
      <c r="F49" s="223"/>
      <c r="G49" s="223"/>
      <c r="H49" s="223"/>
      <c r="I49" s="223"/>
    </row>
    <row r="50" spans="1:9" ht="12.75">
      <c r="A50" s="223"/>
      <c r="B50" s="225" t="s">
        <v>662</v>
      </c>
      <c r="C50" s="223"/>
      <c r="D50" s="223"/>
      <c r="E50" s="223"/>
      <c r="F50" s="223"/>
      <c r="G50" s="223"/>
      <c r="H50" s="223"/>
      <c r="I50" s="223"/>
    </row>
    <row r="51" spans="1:9" ht="12.75">
      <c r="A51" s="223"/>
      <c r="B51" s="225" t="s">
        <v>663</v>
      </c>
      <c r="C51" s="223"/>
      <c r="D51" s="223"/>
      <c r="E51" s="223"/>
      <c r="F51" s="223"/>
      <c r="G51" s="223"/>
      <c r="H51" s="223"/>
      <c r="I51" s="223"/>
    </row>
    <row r="52" spans="1:9" ht="12.75">
      <c r="A52" s="223"/>
      <c r="B52" s="225" t="s">
        <v>664</v>
      </c>
      <c r="C52" s="223"/>
      <c r="D52" s="223"/>
      <c r="E52" s="223"/>
      <c r="F52" s="223"/>
      <c r="G52" s="223"/>
      <c r="H52" s="223"/>
      <c r="I52" s="223"/>
    </row>
    <row r="53" spans="1:9" ht="12.75">
      <c r="A53" s="223"/>
      <c r="B53" s="225" t="s">
        <v>665</v>
      </c>
      <c r="C53" s="223"/>
      <c r="D53" s="223"/>
      <c r="E53" s="223"/>
      <c r="F53" s="223"/>
      <c r="G53" s="223"/>
      <c r="H53" s="223"/>
      <c r="I53" s="223"/>
    </row>
    <row r="54" spans="1:9" ht="12.75">
      <c r="A54" s="223"/>
      <c r="B54" s="225" t="s">
        <v>666</v>
      </c>
      <c r="C54" s="223"/>
      <c r="D54" s="223"/>
      <c r="E54" s="223"/>
      <c r="F54" s="223"/>
      <c r="G54" s="223"/>
      <c r="H54" s="223"/>
      <c r="I54" s="223"/>
    </row>
    <row r="55" spans="1:9" ht="12.75">
      <c r="A55" s="223"/>
      <c r="B55" s="225" t="s">
        <v>667</v>
      </c>
      <c r="C55" s="223"/>
      <c r="D55" s="223"/>
      <c r="E55" s="223"/>
      <c r="F55" s="223"/>
      <c r="G55" s="223"/>
      <c r="H55" s="223"/>
      <c r="I55" s="223"/>
    </row>
  </sheetData>
  <printOptions/>
  <pageMargins left="0.75" right="0.75" top="1" bottom="1" header="0.5" footer="0.5"/>
  <pageSetup horizontalDpi="300" verticalDpi="300" orientation="portrait" scale="90" r:id="rId1"/>
  <headerFooter alignWithMargins="0">
    <oddHeader>&amp;LFlixborough Incident&amp;R&amp;D</oddHeader>
    <oddFooter>&amp;LR.A. Hawrelak&amp;C&amp;T&amp;R&amp;f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showGridLines="0" workbookViewId="0" topLeftCell="A1">
      <pane ySplit="1020" topLeftCell="BM39" activePane="bottomLeft" state="split"/>
      <selection pane="topLeft" activeCell="A1" sqref="A1:E16384"/>
      <selection pane="bottomLeft" activeCell="E53" sqref="E53"/>
    </sheetView>
  </sheetViews>
  <sheetFormatPr defaultColWidth="9.00390625" defaultRowHeight="12.75"/>
  <cols>
    <col min="1" max="5" width="12.75390625" style="0" customWidth="1"/>
    <col min="6" max="6" width="12.375" style="0" customWidth="1"/>
    <col min="7" max="7" width="12.75390625" style="0" customWidth="1"/>
    <col min="8" max="16384" width="11.375" style="0" customWidth="1"/>
  </cols>
  <sheetData>
    <row r="1" spans="1:8" ht="12.75">
      <c r="A1" s="12" t="s">
        <v>668</v>
      </c>
      <c r="B1" s="12" t="s">
        <v>669</v>
      </c>
      <c r="C1" s="12" t="s">
        <v>670</v>
      </c>
      <c r="D1" s="12" t="s">
        <v>671</v>
      </c>
      <c r="E1" s="12" t="s">
        <v>672</v>
      </c>
      <c r="F1" s="12" t="s">
        <v>673</v>
      </c>
      <c r="H1" s="12" t="s">
        <v>674</v>
      </c>
    </row>
    <row r="2" spans="1:8" ht="12.75">
      <c r="A2" s="12" t="s">
        <v>675</v>
      </c>
      <c r="B2" s="12" t="s">
        <v>676</v>
      </c>
      <c r="C2" s="12" t="s">
        <v>677</v>
      </c>
      <c r="D2" s="12" t="s">
        <v>676</v>
      </c>
      <c r="E2" s="12" t="s">
        <v>678</v>
      </c>
      <c r="F2" s="12" t="s">
        <v>679</v>
      </c>
      <c r="H2" s="12" t="s">
        <v>680</v>
      </c>
    </row>
    <row r="3" spans="1:6" ht="12.75">
      <c r="A3" s="12" t="s">
        <v>681</v>
      </c>
      <c r="B3" s="12" t="s">
        <v>682</v>
      </c>
      <c r="C3" s="12" t="s">
        <v>683</v>
      </c>
      <c r="D3" s="12" t="s">
        <v>684</v>
      </c>
      <c r="E3" s="12" t="s">
        <v>685</v>
      </c>
      <c r="F3" s="12" t="s">
        <v>686</v>
      </c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2"/>
      <c r="D5" s="12"/>
      <c r="E5" s="12"/>
      <c r="F5" s="12" t="s">
        <v>687</v>
      </c>
    </row>
    <row r="6" ht="12.75">
      <c r="F6" s="228">
        <f>E56</f>
        <v>0.1</v>
      </c>
    </row>
    <row r="7" spans="2:8" ht="12.75">
      <c r="B7" s="12" t="s">
        <v>687</v>
      </c>
      <c r="D7" s="20"/>
      <c r="E7" s="12"/>
      <c r="F7" s="12"/>
      <c r="G7" t="s">
        <v>688</v>
      </c>
      <c r="H7" s="38">
        <f>A24*B8*F6</f>
        <v>9E-06</v>
      </c>
    </row>
    <row r="8" spans="2:4" ht="12.75">
      <c r="B8" s="228">
        <f>E52</f>
        <v>0.9</v>
      </c>
      <c r="D8" s="12"/>
    </row>
    <row r="9" spans="1:6" ht="12.75">
      <c r="A9" s="12"/>
      <c r="D9" s="12"/>
      <c r="E9" s="12"/>
      <c r="F9" s="12"/>
    </row>
    <row r="10" spans="4:7" ht="12.75">
      <c r="D10" s="12"/>
      <c r="F10" s="12">
        <f>1-F6</f>
        <v>0.9</v>
      </c>
      <c r="G10" t="s">
        <v>689</v>
      </c>
    </row>
    <row r="11" spans="7:8" ht="12.75">
      <c r="G11" t="s">
        <v>690</v>
      </c>
      <c r="H11" s="154">
        <f>A24*B8*F10</f>
        <v>8.1E-05</v>
      </c>
    </row>
    <row r="12" ht="12.75">
      <c r="F12" s="12" t="s">
        <v>691</v>
      </c>
    </row>
    <row r="13" ht="12.75">
      <c r="F13" s="12"/>
    </row>
    <row r="14" ht="12.75">
      <c r="E14" s="12" t="s">
        <v>687</v>
      </c>
    </row>
    <row r="15" spans="5:6" ht="12.75">
      <c r="E15" s="228">
        <f>E55</f>
        <v>0.1</v>
      </c>
      <c r="F15" s="12"/>
    </row>
    <row r="16" spans="5:8" ht="12.75">
      <c r="E16" s="12"/>
      <c r="G16" s="7" t="s">
        <v>692</v>
      </c>
      <c r="H16" s="154">
        <f>A24*B29*C22*D19*E15</f>
        <v>1.1249999999999998E-07</v>
      </c>
    </row>
    <row r="17" spans="4:8" ht="12.75">
      <c r="D17" s="12"/>
      <c r="G17" s="12"/>
      <c r="H17" s="154"/>
    </row>
    <row r="18" spans="4:6" ht="12.75">
      <c r="D18" s="12" t="s">
        <v>687</v>
      </c>
      <c r="F18" s="12" t="s">
        <v>687</v>
      </c>
    </row>
    <row r="19" spans="4:7" ht="12.75">
      <c r="D19" s="228">
        <f>E54</f>
        <v>0.9</v>
      </c>
      <c r="F19" s="153">
        <f>E56</f>
        <v>0.1</v>
      </c>
      <c r="G19" t="s">
        <v>693</v>
      </c>
    </row>
    <row r="20" spans="3:8" ht="12.75">
      <c r="C20" s="12"/>
      <c r="G20" t="s">
        <v>694</v>
      </c>
      <c r="H20" s="154">
        <f>A24*B29*C22*D19*E21*F19</f>
        <v>1.0124999999999998E-07</v>
      </c>
    </row>
    <row r="21" spans="3:5" ht="12.75">
      <c r="C21" s="12" t="s">
        <v>687</v>
      </c>
      <c r="E21" s="12">
        <f>1-E15</f>
        <v>0.9</v>
      </c>
    </row>
    <row r="22" spans="3:5" ht="12.75">
      <c r="C22" s="228">
        <f>E53</f>
        <v>0.125</v>
      </c>
      <c r="E22" s="12"/>
    </row>
    <row r="23" spans="1:6" ht="12.75">
      <c r="A23" t="s">
        <v>695</v>
      </c>
      <c r="B23" s="12"/>
      <c r="E23" s="12" t="s">
        <v>691</v>
      </c>
      <c r="F23" s="12">
        <f>1-F19</f>
        <v>0.9</v>
      </c>
    </row>
    <row r="24" spans="1:8" ht="12.75">
      <c r="A24" s="155">
        <f>E51</f>
        <v>0.0001</v>
      </c>
      <c r="G24" t="s">
        <v>696</v>
      </c>
      <c r="H24" s="154">
        <f>A24*B29*C22*D19*E21*F23</f>
        <v>9.112499999999999E-07</v>
      </c>
    </row>
    <row r="25" spans="3:6" ht="12.75">
      <c r="C25" s="12"/>
      <c r="F25" s="12" t="s">
        <v>691</v>
      </c>
    </row>
    <row r="26" ht="12.75">
      <c r="D26" s="12">
        <f>1-D19</f>
        <v>0.09999999999999998</v>
      </c>
    </row>
    <row r="27" spans="1:8" ht="12.75">
      <c r="A27" s="12"/>
      <c r="G27" t="s">
        <v>697</v>
      </c>
      <c r="H27" s="154">
        <f>A24*B29*C22*D26</f>
        <v>1.2499999999999994E-07</v>
      </c>
    </row>
    <row r="28" ht="12.75">
      <c r="D28" s="12" t="s">
        <v>691</v>
      </c>
    </row>
    <row r="29" spans="2:4" ht="12.75">
      <c r="B29" s="12">
        <f>1-B8</f>
        <v>0.09999999999999998</v>
      </c>
      <c r="D29" s="12"/>
    </row>
    <row r="30" ht="12.75">
      <c r="E30" s="12" t="s">
        <v>687</v>
      </c>
    </row>
    <row r="31" spans="2:5" ht="12.75">
      <c r="B31" s="12" t="s">
        <v>691</v>
      </c>
      <c r="E31" s="228">
        <f>E55</f>
        <v>0.1</v>
      </c>
    </row>
    <row r="32" spans="2:8" ht="12.75">
      <c r="B32" s="12"/>
      <c r="G32" s="7" t="s">
        <v>692</v>
      </c>
      <c r="H32" s="154">
        <f>A24*B29*C38*D34*E31</f>
        <v>7.874999999999999E-07</v>
      </c>
    </row>
    <row r="33" spans="2:7" ht="12.75">
      <c r="B33" s="12"/>
      <c r="D33" s="12" t="s">
        <v>687</v>
      </c>
      <c r="G33" s="12"/>
    </row>
    <row r="34" spans="4:6" ht="12.75">
      <c r="D34" s="228">
        <f>E54</f>
        <v>0.9</v>
      </c>
      <c r="F34" s="12" t="s">
        <v>687</v>
      </c>
    </row>
    <row r="35" spans="6:7" ht="12.75">
      <c r="F35" s="228">
        <f>E56</f>
        <v>0.1</v>
      </c>
      <c r="G35" t="s">
        <v>693</v>
      </c>
    </row>
    <row r="36" spans="7:8" ht="12.75">
      <c r="G36" t="s">
        <v>694</v>
      </c>
      <c r="H36" s="154">
        <f>A24*B29*C38*D34*E37*F35</f>
        <v>7.087499999999999E-07</v>
      </c>
    </row>
    <row r="37" ht="12.75">
      <c r="E37" s="12">
        <f>1-E31</f>
        <v>0.9</v>
      </c>
    </row>
    <row r="38" ht="12.75">
      <c r="C38" s="12">
        <f>1-C22</f>
        <v>0.875</v>
      </c>
    </row>
    <row r="39" spans="5:6" ht="12.75">
      <c r="E39" s="12" t="s">
        <v>691</v>
      </c>
      <c r="F39" s="12">
        <f>1-F35</f>
        <v>0.9</v>
      </c>
    </row>
    <row r="40" spans="3:8" ht="12.75">
      <c r="C40" s="12" t="s">
        <v>691</v>
      </c>
      <c r="G40" t="s">
        <v>696</v>
      </c>
      <c r="H40" s="154">
        <f>A24*B29*C38*D34*E37*F39</f>
        <v>6.378749999999999E-06</v>
      </c>
    </row>
    <row r="41" ht="12.75">
      <c r="F41" s="12" t="s">
        <v>691</v>
      </c>
    </row>
    <row r="42" ht="12.75">
      <c r="D42" s="12">
        <f>1-D34</f>
        <v>0.09999999999999998</v>
      </c>
    </row>
    <row r="43" spans="7:8" ht="12.75">
      <c r="G43" t="s">
        <v>697</v>
      </c>
      <c r="H43" s="154">
        <f>A24*B29*C38*D42</f>
        <v>8.749999999999996E-07</v>
      </c>
    </row>
    <row r="44" spans="4:8" ht="12.75">
      <c r="D44" s="12" t="s">
        <v>691</v>
      </c>
      <c r="H44" s="46"/>
    </row>
    <row r="45" spans="7:8" ht="12.75">
      <c r="G45" s="20" t="s">
        <v>550</v>
      </c>
      <c r="H45" s="229">
        <f>H7+H11+H16+H20+H24+H27+H32+H36+H40+H43</f>
        <v>9.999999999999999E-05</v>
      </c>
    </row>
    <row r="46" spans="7:8" ht="12.75">
      <c r="G46" s="20"/>
      <c r="H46" s="156"/>
    </row>
    <row r="47" spans="1:7" ht="12.75">
      <c r="A47" s="42"/>
      <c r="B47" s="42"/>
      <c r="C47" s="43"/>
      <c r="D47" s="43"/>
      <c r="E47" s="157"/>
      <c r="F47" s="43"/>
      <c r="G47" s="44"/>
    </row>
    <row r="48" spans="1:7" ht="12.75">
      <c r="A48" s="45"/>
      <c r="B48" s="45" t="s">
        <v>698</v>
      </c>
      <c r="C48" s="46" t="s">
        <v>695</v>
      </c>
      <c r="D48" s="46"/>
      <c r="E48" s="158" t="s">
        <v>699</v>
      </c>
      <c r="F48" s="46" t="s">
        <v>700</v>
      </c>
      <c r="G48" s="47"/>
    </row>
    <row r="49" spans="1:7" ht="12.75">
      <c r="A49" s="50"/>
      <c r="B49" s="50"/>
      <c r="C49" s="51"/>
      <c r="D49" s="51"/>
      <c r="E49" s="159"/>
      <c r="F49" s="51"/>
      <c r="G49" s="52"/>
    </row>
    <row r="50" spans="1:7" ht="12.75">
      <c r="A50" s="42"/>
      <c r="B50" s="42"/>
      <c r="C50" s="43"/>
      <c r="D50" s="43"/>
      <c r="E50" s="157"/>
      <c r="F50" s="43"/>
      <c r="G50" s="44"/>
    </row>
    <row r="51" spans="1:7" ht="12.75">
      <c r="A51" s="56" t="s">
        <v>681</v>
      </c>
      <c r="B51" s="45" t="s">
        <v>701</v>
      </c>
      <c r="C51" s="46"/>
      <c r="D51" s="46"/>
      <c r="E51" s="160">
        <v>0.0001</v>
      </c>
      <c r="F51" s="46" t="s">
        <v>702</v>
      </c>
      <c r="G51" s="47"/>
    </row>
    <row r="52" spans="1:7" ht="12.75">
      <c r="A52" s="56" t="s">
        <v>682</v>
      </c>
      <c r="B52" s="45" t="s">
        <v>703</v>
      </c>
      <c r="C52" s="46"/>
      <c r="D52" s="46"/>
      <c r="E52" s="161">
        <v>0.9</v>
      </c>
      <c r="F52" s="46" t="s">
        <v>704</v>
      </c>
      <c r="G52" s="47"/>
    </row>
    <row r="53" spans="1:7" ht="12.75">
      <c r="A53" s="56" t="s">
        <v>683</v>
      </c>
      <c r="B53" s="45" t="s">
        <v>705</v>
      </c>
      <c r="C53" s="46"/>
      <c r="D53" s="46"/>
      <c r="E53" s="161">
        <v>0.125</v>
      </c>
      <c r="F53" s="46" t="s">
        <v>706</v>
      </c>
      <c r="G53" s="47"/>
    </row>
    <row r="54" spans="1:7" ht="12.75">
      <c r="A54" s="56" t="s">
        <v>684</v>
      </c>
      <c r="B54" s="45" t="s">
        <v>707</v>
      </c>
      <c r="C54" s="46"/>
      <c r="D54" s="46"/>
      <c r="E54" s="161">
        <v>0.9</v>
      </c>
      <c r="F54" s="46" t="s">
        <v>704</v>
      </c>
      <c r="G54" s="47"/>
    </row>
    <row r="55" spans="1:7" ht="12.75">
      <c r="A55" s="56" t="s">
        <v>685</v>
      </c>
      <c r="B55" s="45" t="s">
        <v>708</v>
      </c>
      <c r="C55" s="46"/>
      <c r="D55" s="46"/>
      <c r="E55" s="161">
        <v>0.1</v>
      </c>
      <c r="F55" s="46" t="s">
        <v>709</v>
      </c>
      <c r="G55" s="47"/>
    </row>
    <row r="56" spans="1:7" ht="12.75">
      <c r="A56" s="56" t="s">
        <v>686</v>
      </c>
      <c r="B56" s="45" t="s">
        <v>710</v>
      </c>
      <c r="C56" s="46"/>
      <c r="D56" s="46"/>
      <c r="E56" s="161">
        <v>0.1</v>
      </c>
      <c r="F56" s="46" t="s">
        <v>711</v>
      </c>
      <c r="G56" s="47"/>
    </row>
    <row r="57" spans="1:7" ht="12.75">
      <c r="A57" s="50"/>
      <c r="B57" s="50"/>
      <c r="C57" s="51"/>
      <c r="D57" s="51"/>
      <c r="E57" s="159"/>
      <c r="F57" s="51"/>
      <c r="G57" s="52"/>
    </row>
    <row r="59" spans="1:7" ht="12.75">
      <c r="A59" s="42"/>
      <c r="B59" s="43"/>
      <c r="C59" s="43"/>
      <c r="D59" s="43"/>
      <c r="E59" s="43"/>
      <c r="F59" s="43"/>
      <c r="G59" s="44"/>
    </row>
    <row r="60" spans="1:7" ht="12.75">
      <c r="A60" s="45" t="s">
        <v>712</v>
      </c>
      <c r="B60" s="46"/>
      <c r="C60" s="46"/>
      <c r="D60" s="46"/>
      <c r="E60" s="46"/>
      <c r="F60" s="46"/>
      <c r="G60" s="47"/>
    </row>
    <row r="61" spans="1:7" ht="12.75">
      <c r="A61" s="50"/>
      <c r="B61" s="51"/>
      <c r="C61" s="51"/>
      <c r="D61" s="51"/>
      <c r="E61" s="51"/>
      <c r="F61" s="51"/>
      <c r="G61" s="52"/>
    </row>
    <row r="62" spans="1:7" ht="12.75">
      <c r="A62" s="42"/>
      <c r="B62" s="43"/>
      <c r="C62" s="42"/>
      <c r="D62" s="43"/>
      <c r="E62" s="157"/>
      <c r="F62" s="157"/>
      <c r="G62" s="44"/>
    </row>
    <row r="63" spans="1:7" ht="12.75">
      <c r="A63" s="45" t="s">
        <v>713</v>
      </c>
      <c r="B63" s="46"/>
      <c r="C63" s="45" t="s">
        <v>714</v>
      </c>
      <c r="D63" s="46"/>
      <c r="E63" s="162" t="s">
        <v>674</v>
      </c>
      <c r="F63" s="162" t="s">
        <v>674</v>
      </c>
      <c r="G63" s="54" t="s">
        <v>715</v>
      </c>
    </row>
    <row r="64" spans="1:7" ht="12.75">
      <c r="A64" s="50"/>
      <c r="B64" s="51"/>
      <c r="C64" s="50"/>
      <c r="D64" s="51"/>
      <c r="E64" s="159"/>
      <c r="F64" s="159"/>
      <c r="G64" s="52"/>
    </row>
    <row r="65" spans="1:7" ht="12.75">
      <c r="A65" s="42"/>
      <c r="B65" s="43"/>
      <c r="C65" s="42"/>
      <c r="D65" s="43"/>
      <c r="E65" s="157"/>
      <c r="F65" s="157"/>
      <c r="G65" s="44"/>
    </row>
    <row r="66" spans="1:8" ht="12.75">
      <c r="A66" s="45" t="s">
        <v>716</v>
      </c>
      <c r="B66" s="46"/>
      <c r="C66" s="45" t="s">
        <v>717</v>
      </c>
      <c r="D66" s="46"/>
      <c r="E66" s="163">
        <f>H7</f>
        <v>9E-06</v>
      </c>
      <c r="F66" s="163"/>
      <c r="G66" s="164">
        <f aca="true" t="shared" si="0" ref="G66:G71">E66+F66</f>
        <v>9E-06</v>
      </c>
      <c r="H66" s="232">
        <f>G66/$G$74</f>
        <v>0.09000000000000001</v>
      </c>
    </row>
    <row r="67" spans="1:8" ht="12.75">
      <c r="A67" s="45" t="s">
        <v>718</v>
      </c>
      <c r="B67" s="46"/>
      <c r="C67" s="45" t="s">
        <v>719</v>
      </c>
      <c r="D67" s="46"/>
      <c r="E67" s="163">
        <f>H24</f>
        <v>9.112499999999999E-07</v>
      </c>
      <c r="F67" s="163">
        <f>H40</f>
        <v>6.378749999999999E-06</v>
      </c>
      <c r="G67" s="164">
        <f t="shared" si="0"/>
        <v>7.289999999999999E-06</v>
      </c>
      <c r="H67" s="232">
        <f aca="true" t="shared" si="1" ref="H67:H74">G67/$G$74</f>
        <v>0.07289999999999999</v>
      </c>
    </row>
    <row r="68" spans="1:8" ht="12.75">
      <c r="A68" s="45" t="s">
        <v>720</v>
      </c>
      <c r="B68" s="46"/>
      <c r="C68" s="45" t="s">
        <v>721</v>
      </c>
      <c r="D68" s="46"/>
      <c r="E68" s="163">
        <f>H20</f>
        <v>1.0124999999999998E-07</v>
      </c>
      <c r="F68" s="163">
        <f>H36</f>
        <v>7.087499999999999E-07</v>
      </c>
      <c r="G68" s="164">
        <f t="shared" si="0"/>
        <v>8.099999999999999E-07</v>
      </c>
      <c r="H68" s="232">
        <f t="shared" si="1"/>
        <v>0.0081</v>
      </c>
    </row>
    <row r="69" spans="1:8" ht="12.75">
      <c r="A69" s="45" t="s">
        <v>722</v>
      </c>
      <c r="B69" s="46"/>
      <c r="C69" s="45" t="s">
        <v>723</v>
      </c>
      <c r="D69" s="46"/>
      <c r="E69" s="163">
        <f>H16</f>
        <v>1.1249999999999998E-07</v>
      </c>
      <c r="F69" s="163">
        <f>H32</f>
        <v>7.874999999999999E-07</v>
      </c>
      <c r="G69" s="164">
        <f t="shared" si="0"/>
        <v>8.999999999999999E-07</v>
      </c>
      <c r="H69" s="232">
        <f t="shared" si="1"/>
        <v>0.009</v>
      </c>
    </row>
    <row r="70" spans="1:8" ht="12.75">
      <c r="A70" s="45" t="s">
        <v>724</v>
      </c>
      <c r="B70" s="46"/>
      <c r="C70" s="45" t="s">
        <v>725</v>
      </c>
      <c r="D70" s="46"/>
      <c r="E70" s="163">
        <f>H11</f>
        <v>8.1E-05</v>
      </c>
      <c r="F70" s="163"/>
      <c r="G70" s="164">
        <f t="shared" si="0"/>
        <v>8.1E-05</v>
      </c>
      <c r="H70" s="232">
        <f t="shared" si="1"/>
        <v>0.81</v>
      </c>
    </row>
    <row r="71" spans="1:8" ht="12.75">
      <c r="A71" s="45" t="s">
        <v>726</v>
      </c>
      <c r="B71" s="46"/>
      <c r="C71" s="45" t="s">
        <v>727</v>
      </c>
      <c r="D71" s="46"/>
      <c r="E71" s="163">
        <f>H27</f>
        <v>1.2499999999999994E-07</v>
      </c>
      <c r="F71" s="163">
        <f>H43</f>
        <v>8.749999999999996E-07</v>
      </c>
      <c r="G71" s="164">
        <f t="shared" si="0"/>
        <v>9.999999999999995E-07</v>
      </c>
      <c r="H71" s="232">
        <f t="shared" si="1"/>
        <v>0.009999999999999997</v>
      </c>
    </row>
    <row r="72" spans="1:8" ht="12.75">
      <c r="A72" s="50"/>
      <c r="B72" s="51"/>
      <c r="C72" s="50"/>
      <c r="D72" s="51"/>
      <c r="E72" s="165"/>
      <c r="F72" s="165"/>
      <c r="G72" s="166"/>
      <c r="H72" s="232"/>
    </row>
    <row r="73" spans="1:8" ht="12.75">
      <c r="A73" s="42"/>
      <c r="B73" s="43"/>
      <c r="C73" s="43"/>
      <c r="D73" s="43"/>
      <c r="E73" s="167"/>
      <c r="F73" s="167"/>
      <c r="G73" s="168"/>
      <c r="H73" s="232"/>
    </row>
    <row r="74" spans="1:8" ht="12.75">
      <c r="A74" s="45"/>
      <c r="B74" s="46"/>
      <c r="C74" s="46"/>
      <c r="D74" s="46"/>
      <c r="E74" s="46"/>
      <c r="F74" s="46" t="s">
        <v>550</v>
      </c>
      <c r="G74" s="164">
        <f>G66+G67+G68+G69+G70+G71</f>
        <v>9.999999999999999E-05</v>
      </c>
      <c r="H74" s="232">
        <f t="shared" si="1"/>
        <v>1</v>
      </c>
    </row>
    <row r="75" spans="1:7" ht="12.75">
      <c r="A75" s="50"/>
      <c r="B75" s="51"/>
      <c r="C75" s="51"/>
      <c r="D75" s="51"/>
      <c r="E75" s="51"/>
      <c r="F75" s="51"/>
      <c r="G75" s="52"/>
    </row>
    <row r="76" spans="1:7" ht="12.75">
      <c r="A76" s="42"/>
      <c r="B76" s="43"/>
      <c r="C76" s="43"/>
      <c r="D76" s="43"/>
      <c r="E76" s="43"/>
      <c r="F76" s="43"/>
      <c r="G76" s="44"/>
    </row>
    <row r="77" spans="1:7" ht="12.75">
      <c r="A77" s="45" t="s">
        <v>728</v>
      </c>
      <c r="B77" s="46"/>
      <c r="C77" s="46"/>
      <c r="D77" s="46"/>
      <c r="E77" s="46"/>
      <c r="F77" s="46"/>
      <c r="G77" s="47"/>
    </row>
    <row r="78" spans="1:7" ht="12.75">
      <c r="A78" s="45" t="s">
        <v>729</v>
      </c>
      <c r="B78" s="46"/>
      <c r="C78" s="46"/>
      <c r="D78" s="46"/>
      <c r="E78" s="46"/>
      <c r="F78" s="46"/>
      <c r="G78" s="47"/>
    </row>
    <row r="79" spans="1:7" ht="12.75">
      <c r="A79" s="50"/>
      <c r="B79" s="51"/>
      <c r="C79" s="51"/>
      <c r="D79" s="51"/>
      <c r="E79" s="51"/>
      <c r="F79" s="51"/>
      <c r="G79" s="52"/>
    </row>
  </sheetData>
  <printOptions/>
  <pageMargins left="0.75" right="0.75" top="1" bottom="1" header="0.5" footer="0.5"/>
  <pageSetup orientation="portrait" paperSize="9"/>
  <headerFooter alignWithMargins="0">
    <oddHeader>&amp;LEvent Tree Outcomes&amp;R&amp;D</oddHeader>
    <oddFooter>&amp;LR.A. Hawrelak&amp;C&amp;T&amp;R&amp;f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3.75390625" style="0" customWidth="1"/>
    <col min="2" max="6" width="14.75390625" style="0" customWidth="1"/>
    <col min="7" max="16384" width="11.375" style="0" customWidth="1"/>
  </cols>
  <sheetData>
    <row r="1" spans="1:6" ht="12.75">
      <c r="A1" s="5" t="s">
        <v>0</v>
      </c>
      <c r="B1" s="68" t="s">
        <v>1</v>
      </c>
      <c r="C1" s="69"/>
      <c r="D1" s="61"/>
      <c r="E1" s="69"/>
      <c r="F1" s="8">
        <f ca="1">NOW()</f>
        <v>34824.57030520833</v>
      </c>
    </row>
    <row r="2" spans="1:6" ht="12.75">
      <c r="A2" s="5" t="s">
        <v>2</v>
      </c>
      <c r="B2" s="68" t="s">
        <v>3</v>
      </c>
      <c r="C2" s="61"/>
      <c r="D2" s="68"/>
      <c r="E2" s="68"/>
      <c r="F2" s="10">
        <f ca="1">NOW()</f>
        <v>34824.57030520833</v>
      </c>
    </row>
    <row r="4" spans="1:3" ht="12.75">
      <c r="A4" t="s">
        <v>4</v>
      </c>
      <c r="B4" s="73" t="s">
        <v>5</v>
      </c>
      <c r="C4" s="7" t="s">
        <v>6</v>
      </c>
    </row>
    <row r="5" spans="1:6" ht="12.75">
      <c r="A5" t="s">
        <v>7</v>
      </c>
      <c r="B5" s="74">
        <v>8500</v>
      </c>
      <c r="C5" s="82" t="s">
        <v>8</v>
      </c>
      <c r="E5" s="65">
        <f>B5/3.2808^3</f>
        <v>240.701976733337</v>
      </c>
      <c r="F5" t="s">
        <v>9</v>
      </c>
    </row>
    <row r="6" spans="1:6" ht="12.75">
      <c r="A6" t="s">
        <v>10</v>
      </c>
      <c r="B6" s="74">
        <v>6378.4130208333345</v>
      </c>
      <c r="C6" s="7" t="s">
        <v>11</v>
      </c>
      <c r="D6" s="66">
        <f>B6/B5</f>
        <v>0.7504015318627453</v>
      </c>
      <c r="E6" s="65">
        <f>B6*B15/2.2046/1000</f>
        <v>111.1</v>
      </c>
      <c r="F6" t="s">
        <v>12</v>
      </c>
    </row>
    <row r="7" spans="1:9" ht="12.75">
      <c r="A7" t="s">
        <v>13</v>
      </c>
      <c r="B7" s="73">
        <v>2325</v>
      </c>
      <c r="C7" s="7" t="s">
        <v>14</v>
      </c>
      <c r="D7" s="33">
        <f>B7/3.2808^2</f>
        <v>216.004821205312</v>
      </c>
      <c r="E7" s="7" t="s">
        <v>15</v>
      </c>
      <c r="H7">
        <v>17500</v>
      </c>
      <c r="I7" t="s">
        <v>16</v>
      </c>
    </row>
    <row r="8" spans="1:9" ht="12.75">
      <c r="A8" t="s">
        <v>17</v>
      </c>
      <c r="B8" s="75">
        <v>1</v>
      </c>
      <c r="C8" s="7" t="s">
        <v>18</v>
      </c>
      <c r="D8" s="62">
        <f>B5*7.4805</f>
        <v>63584.25</v>
      </c>
      <c r="E8" s="7" t="s">
        <v>19</v>
      </c>
      <c r="H8">
        <v>10</v>
      </c>
      <c r="I8" t="s">
        <v>20</v>
      </c>
    </row>
    <row r="9" spans="1:9" ht="12.75">
      <c r="A9" t="s">
        <v>21</v>
      </c>
      <c r="B9" s="74">
        <v>85000</v>
      </c>
      <c r="C9" s="7" t="s">
        <v>22</v>
      </c>
      <c r="D9" s="33">
        <f>B9/2.2046</f>
        <v>38555.74707429919</v>
      </c>
      <c r="E9" s="7"/>
      <c r="H9">
        <v>0.85</v>
      </c>
      <c r="I9" t="s">
        <v>23</v>
      </c>
    </row>
    <row r="10" spans="1:9" ht="12.75">
      <c r="A10" t="s">
        <v>24</v>
      </c>
      <c r="B10" s="73">
        <v>100</v>
      </c>
      <c r="C10" s="7" t="s">
        <v>25</v>
      </c>
      <c r="D10" s="12"/>
      <c r="E10" s="70">
        <f>1.21*B10</f>
        <v>121</v>
      </c>
      <c r="F10" t="s">
        <v>26</v>
      </c>
      <c r="H10">
        <v>750</v>
      </c>
      <c r="I10" t="s">
        <v>27</v>
      </c>
    </row>
    <row r="11" spans="1:8" ht="12.75">
      <c r="A11" t="s">
        <v>28</v>
      </c>
      <c r="B11" s="73">
        <v>120</v>
      </c>
      <c r="C11" s="78" t="s">
        <v>620</v>
      </c>
      <c r="D11" s="85"/>
      <c r="E11" s="24">
        <f>(B11)*101325/14.696/1000</f>
        <v>827.367991290147</v>
      </c>
      <c r="F11" t="s">
        <v>29</v>
      </c>
      <c r="H11">
        <f>H10*H8*12/2/(H7*H9-0.6*H10)</f>
        <v>3.119584055459272</v>
      </c>
    </row>
    <row r="12" spans="1:5" ht="12.75">
      <c r="A12" t="s">
        <v>30</v>
      </c>
      <c r="B12" s="73">
        <v>200</v>
      </c>
      <c r="C12" s="7" t="s">
        <v>31</v>
      </c>
      <c r="D12" s="32">
        <f>(B12-32)/1.8</f>
        <v>93.33333333333333</v>
      </c>
      <c r="E12" s="7" t="s">
        <v>621</v>
      </c>
    </row>
    <row r="13" spans="1:5" ht="12.75">
      <c r="A13" t="s">
        <v>32</v>
      </c>
      <c r="B13" s="73">
        <v>84</v>
      </c>
      <c r="C13" s="12"/>
      <c r="E13" s="12"/>
    </row>
    <row r="14" spans="1:5" ht="12.75">
      <c r="A14" t="s">
        <v>33</v>
      </c>
      <c r="B14" s="76">
        <v>122.46888969521</v>
      </c>
      <c r="C14" s="12" t="s">
        <v>34</v>
      </c>
      <c r="D14" s="65">
        <f>B14*2000/2.2046/1000</f>
        <v>111.10304789550031</v>
      </c>
      <c r="E14" s="12" t="s">
        <v>35</v>
      </c>
    </row>
    <row r="15" spans="1:5" ht="12.75">
      <c r="A15" t="s">
        <v>36</v>
      </c>
      <c r="B15" s="76">
        <v>38.4</v>
      </c>
      <c r="C15" s="12" t="s">
        <v>37</v>
      </c>
      <c r="D15" s="65">
        <f>B15*16.01846</f>
        <v>615.108864</v>
      </c>
      <c r="E15" s="12" t="s">
        <v>38</v>
      </c>
    </row>
    <row r="16" spans="1:5" ht="12.75">
      <c r="A16" t="s">
        <v>39</v>
      </c>
      <c r="B16" s="74">
        <v>70</v>
      </c>
      <c r="C16" s="12" t="s">
        <v>31</v>
      </c>
      <c r="D16" s="65">
        <f>(B16+460)/1.8</f>
        <v>294.44444444444446</v>
      </c>
      <c r="E16" s="12" t="s">
        <v>40</v>
      </c>
    </row>
    <row r="17" spans="1:6" ht="12.75">
      <c r="A17" t="s">
        <v>41</v>
      </c>
      <c r="B17" s="73">
        <v>14.7</v>
      </c>
      <c r="C17" s="12" t="s">
        <v>42</v>
      </c>
      <c r="D17" s="62">
        <f>B17/14.696*101325</f>
        <v>101352.578933043</v>
      </c>
      <c r="E17" s="12" t="s">
        <v>43</v>
      </c>
      <c r="F17" s="14">
        <f>D17/1000</f>
        <v>101.35257893304299</v>
      </c>
    </row>
    <row r="18" spans="1:5" ht="12.75">
      <c r="A18" t="s">
        <v>44</v>
      </c>
      <c r="B18" s="77">
        <v>0.836</v>
      </c>
      <c r="C18" s="12"/>
      <c r="D18" s="66">
        <f>B18</f>
        <v>0.836</v>
      </c>
      <c r="E18" s="12"/>
    </row>
    <row r="19" spans="1:5" ht="12.75">
      <c r="A19" t="s">
        <v>45</v>
      </c>
      <c r="B19" s="73">
        <v>283</v>
      </c>
      <c r="C19" s="12" t="s">
        <v>46</v>
      </c>
      <c r="D19" s="65">
        <f>(B19+460)/1.8</f>
        <v>412.77777777777777</v>
      </c>
      <c r="E19" s="12" t="s">
        <v>40</v>
      </c>
    </row>
    <row r="20" spans="1:5" ht="12.75">
      <c r="A20" t="s">
        <v>47</v>
      </c>
      <c r="B20" s="73">
        <v>177</v>
      </c>
      <c r="C20" s="12" t="s">
        <v>46</v>
      </c>
      <c r="D20" s="65">
        <f>(B20+460)/1.8</f>
        <v>353.88888888888886</v>
      </c>
      <c r="E20" s="12" t="s">
        <v>40</v>
      </c>
    </row>
    <row r="21" spans="1:5" ht="12.75">
      <c r="A21" t="s">
        <v>48</v>
      </c>
      <c r="B21" s="73">
        <v>0.52</v>
      </c>
      <c r="C21" s="12" t="s">
        <v>49</v>
      </c>
      <c r="D21" s="67">
        <f>B21*4.1868</f>
        <v>2.177136</v>
      </c>
      <c r="E21" s="12" t="s">
        <v>50</v>
      </c>
    </row>
    <row r="22" spans="1:5" ht="12.75">
      <c r="A22" t="s">
        <v>51</v>
      </c>
      <c r="B22" s="73">
        <v>153.1</v>
      </c>
      <c r="C22" s="12" t="s">
        <v>52</v>
      </c>
      <c r="D22" s="65">
        <f>B22*2.326</f>
        <v>356.1106</v>
      </c>
      <c r="E22" s="12" t="s">
        <v>53</v>
      </c>
    </row>
    <row r="23" spans="1:5" ht="12.75">
      <c r="A23" t="s">
        <v>54</v>
      </c>
      <c r="B23" s="73">
        <v>0.012</v>
      </c>
      <c r="C23" s="12"/>
      <c r="E23" s="12"/>
    </row>
    <row r="24" spans="1:5" ht="12.75">
      <c r="A24" t="s">
        <v>55</v>
      </c>
      <c r="B24" s="73">
        <v>0.08</v>
      </c>
      <c r="C24" s="12"/>
      <c r="E24" s="12"/>
    </row>
    <row r="25" spans="1:5" ht="12.75">
      <c r="A25" t="s">
        <v>56</v>
      </c>
      <c r="B25" s="74">
        <v>18700</v>
      </c>
      <c r="C25" s="12" t="s">
        <v>52</v>
      </c>
      <c r="D25" s="65">
        <f>B25*2326/1000000</f>
        <v>43.4962</v>
      </c>
      <c r="E25" s="12" t="s">
        <v>57</v>
      </c>
    </row>
    <row r="26" spans="1:6" ht="12.75">
      <c r="A26" t="s">
        <v>58</v>
      </c>
      <c r="B26" s="73">
        <v>9</v>
      </c>
      <c r="C26" s="7" t="s">
        <v>59</v>
      </c>
      <c r="D26" s="14"/>
      <c r="E26" s="12"/>
      <c r="F26" s="6"/>
    </row>
    <row r="27" spans="1:6" ht="12.75">
      <c r="A27" t="s">
        <v>60</v>
      </c>
      <c r="B27" s="62">
        <f>D27*1000*2.2046</f>
        <v>88183.99999999971</v>
      </c>
      <c r="C27" s="12" t="s">
        <v>22</v>
      </c>
      <c r="D27" s="80">
        <f>IF(D14*D21*(D19-D20)/D22&gt;D14,D14,D14*D21*(D19-D20)/D22)</f>
        <v>39.99999999999987</v>
      </c>
      <c r="E27" s="12" t="s">
        <v>35</v>
      </c>
      <c r="F27" s="230">
        <f>D27/D14</f>
        <v>0.36002612671456585</v>
      </c>
    </row>
    <row r="28" spans="1:5" ht="12.75">
      <c r="A28" t="s">
        <v>834</v>
      </c>
      <c r="B28" s="63">
        <f>D28*1000/453.6/3.2808^3</f>
        <v>0.001858003541406093</v>
      </c>
      <c r="C28" s="12" t="s">
        <v>37</v>
      </c>
      <c r="D28" s="63">
        <f>B23*B13*273/22.4/D19</f>
        <v>0.029761776581426654</v>
      </c>
      <c r="E28" s="12" t="s">
        <v>61</v>
      </c>
    </row>
    <row r="29" spans="1:5" ht="12.75">
      <c r="A29" t="s">
        <v>833</v>
      </c>
      <c r="B29" s="63">
        <f>D29*1000/453.6/3.2808^3</f>
        <v>0.012386690276040618</v>
      </c>
      <c r="C29" s="12" t="s">
        <v>37</v>
      </c>
      <c r="D29" s="63">
        <f>B24*B13*273/22.4/D19</f>
        <v>0.19841184387617766</v>
      </c>
      <c r="E29" s="12" t="s">
        <v>61</v>
      </c>
    </row>
    <row r="30" spans="1:5" ht="12.75">
      <c r="A30" t="s">
        <v>62</v>
      </c>
      <c r="B30" s="64">
        <f>D30*3.2808</f>
        <v>96.14729646165117</v>
      </c>
      <c r="C30" s="12" t="s">
        <v>63</v>
      </c>
      <c r="D30" s="64">
        <f>0.5*(D27*1000/D29)^0.3333</f>
        <v>29.306052323107522</v>
      </c>
      <c r="E30" s="12" t="s">
        <v>64</v>
      </c>
    </row>
    <row r="31" spans="1:5" ht="12.75">
      <c r="A31" t="s">
        <v>65</v>
      </c>
      <c r="B31" s="64">
        <f>D31*3.2808</f>
        <v>188.04977618173044</v>
      </c>
      <c r="C31" s="12" t="s">
        <v>63</v>
      </c>
      <c r="D31" s="64">
        <f>0.71*(D27*1000/D29)^0.3333*(LN(D29/D28))^0.5</f>
        <v>57.31826877033968</v>
      </c>
      <c r="E31" s="12" t="s">
        <v>64</v>
      </c>
    </row>
    <row r="32" spans="1:6" ht="12.75">
      <c r="A32" t="s">
        <v>66</v>
      </c>
      <c r="B32" s="64">
        <f>D32*2.2046</f>
        <v>62271.22099585419</v>
      </c>
      <c r="C32" s="12" t="s">
        <v>67</v>
      </c>
      <c r="D32" s="80">
        <f>2*PI()*D29*F54</f>
        <v>28246.040549693455</v>
      </c>
      <c r="E32" s="12" t="s">
        <v>68</v>
      </c>
      <c r="F32" s="230">
        <f>D32/D14/1000</f>
        <v>0.2542328143532183</v>
      </c>
    </row>
    <row r="33" spans="3:5" ht="12.75">
      <c r="C33" s="12"/>
      <c r="E33" s="12"/>
    </row>
    <row r="34" spans="1:5" ht="12.75">
      <c r="A34" s="222" t="s">
        <v>69</v>
      </c>
      <c r="B34" s="222"/>
      <c r="E34" s="12"/>
    </row>
    <row r="35" spans="1:6" ht="12.75">
      <c r="A35" t="s">
        <v>70</v>
      </c>
      <c r="B35" s="16">
        <f>D31</f>
        <v>57.31826877033968</v>
      </c>
      <c r="C35" t="s">
        <v>830</v>
      </c>
      <c r="D35" s="12"/>
      <c r="E35" s="12"/>
      <c r="F35" s="12"/>
    </row>
    <row r="36" spans="1:6" ht="12.75">
      <c r="A36" t="s">
        <v>71</v>
      </c>
      <c r="B36" s="73">
        <v>0</v>
      </c>
      <c r="D36" s="12"/>
      <c r="E36" s="12"/>
      <c r="F36" s="12"/>
    </row>
    <row r="37" spans="1:6" ht="12.75">
      <c r="A37" t="s">
        <v>72</v>
      </c>
      <c r="B37" s="73">
        <v>13</v>
      </c>
      <c r="D37" s="12" t="s">
        <v>73</v>
      </c>
      <c r="E37" s="12"/>
      <c r="F37" s="12"/>
    </row>
    <row r="38" spans="1:6" ht="12.75">
      <c r="A38" t="s">
        <v>74</v>
      </c>
      <c r="B38" s="23">
        <f>(B35-B36)/B37</f>
        <v>4.409097597718437</v>
      </c>
      <c r="C38" t="s">
        <v>830</v>
      </c>
      <c r="D38" s="12" t="s">
        <v>75</v>
      </c>
      <c r="E38" s="12"/>
      <c r="F38" s="12"/>
    </row>
    <row r="39" spans="1:6" ht="12.75">
      <c r="A39" s="20" t="s">
        <v>76</v>
      </c>
      <c r="B39" s="23">
        <v>0</v>
      </c>
      <c r="C39" s="12" t="s">
        <v>77</v>
      </c>
      <c r="D39" s="16">
        <f aca="true" t="shared" si="0" ref="D39:D52">B39^2*EXP(-1*B39^2/(2*$D$30^2))</f>
        <v>0</v>
      </c>
      <c r="E39" s="12" t="s">
        <v>77</v>
      </c>
      <c r="F39" s="12">
        <f>D39</f>
        <v>0</v>
      </c>
    </row>
    <row r="40" spans="1:6" ht="12.75">
      <c r="A40" s="20" t="s">
        <v>78</v>
      </c>
      <c r="B40" s="23">
        <f aca="true" t="shared" si="1" ref="B40:B52">B39+$B$38</f>
        <v>4.409097597718437</v>
      </c>
      <c r="C40" s="12" t="s">
        <v>79</v>
      </c>
      <c r="D40" s="16">
        <f t="shared" si="0"/>
        <v>19.221365996887876</v>
      </c>
      <c r="E40" s="12" t="s">
        <v>80</v>
      </c>
      <c r="F40" s="16">
        <f aca="true" t="shared" si="2" ref="F40:F51">2*D40</f>
        <v>38.44273199377575</v>
      </c>
    </row>
    <row r="41" spans="1:6" ht="12.75">
      <c r="A41" s="20" t="s">
        <v>81</v>
      </c>
      <c r="B41" s="23">
        <f t="shared" si="1"/>
        <v>8.818195195436873</v>
      </c>
      <c r="C41" s="12" t="s">
        <v>82</v>
      </c>
      <c r="D41" s="16">
        <f t="shared" si="0"/>
        <v>74.31880377875146</v>
      </c>
      <c r="E41" s="12" t="s">
        <v>83</v>
      </c>
      <c r="F41" s="16">
        <f t="shared" si="2"/>
        <v>148.63760755750292</v>
      </c>
    </row>
    <row r="42" spans="1:6" ht="12.75">
      <c r="A42" s="20" t="s">
        <v>84</v>
      </c>
      <c r="B42" s="23">
        <f t="shared" si="1"/>
        <v>13.22729279315531</v>
      </c>
      <c r="C42" s="12" t="s">
        <v>85</v>
      </c>
      <c r="D42" s="16">
        <f t="shared" si="0"/>
        <v>158.01755853097183</v>
      </c>
      <c r="E42" s="12" t="s">
        <v>86</v>
      </c>
      <c r="F42" s="16">
        <f t="shared" si="2"/>
        <v>316.03511706194365</v>
      </c>
    </row>
    <row r="43" spans="1:6" ht="12.75">
      <c r="A43" s="20" t="s">
        <v>87</v>
      </c>
      <c r="B43" s="23">
        <f t="shared" si="1"/>
        <v>17.636390390873746</v>
      </c>
      <c r="C43" s="12" t="s">
        <v>88</v>
      </c>
      <c r="D43" s="16">
        <f t="shared" si="0"/>
        <v>259.52343846178354</v>
      </c>
      <c r="E43" s="12" t="s">
        <v>89</v>
      </c>
      <c r="F43" s="16">
        <f t="shared" si="2"/>
        <v>519.0468769235671</v>
      </c>
    </row>
    <row r="44" spans="1:6" ht="12.75">
      <c r="A44" s="20" t="s">
        <v>90</v>
      </c>
      <c r="B44" s="23">
        <f t="shared" si="1"/>
        <v>22.045487988592182</v>
      </c>
      <c r="C44" s="12" t="s">
        <v>91</v>
      </c>
      <c r="D44" s="16">
        <f t="shared" si="0"/>
        <v>366.2351516486047</v>
      </c>
      <c r="E44" s="12" t="s">
        <v>92</v>
      </c>
      <c r="F44" s="16">
        <f t="shared" si="2"/>
        <v>732.4703032972094</v>
      </c>
    </row>
    <row r="45" spans="1:6" ht="12.75">
      <c r="A45" s="20" t="s">
        <v>93</v>
      </c>
      <c r="B45" s="23">
        <f t="shared" si="1"/>
        <v>26.454585586310618</v>
      </c>
      <c r="C45" s="12" t="s">
        <v>94</v>
      </c>
      <c r="D45" s="16">
        <f t="shared" si="0"/>
        <v>465.64568084231314</v>
      </c>
      <c r="E45" s="12" t="s">
        <v>95</v>
      </c>
      <c r="F45" s="16">
        <f t="shared" si="2"/>
        <v>931.2913616846263</v>
      </c>
    </row>
    <row r="46" spans="1:6" ht="12.75">
      <c r="A46" s="20" t="s">
        <v>96</v>
      </c>
      <c r="B46" s="23">
        <f t="shared" si="1"/>
        <v>30.863683184029053</v>
      </c>
      <c r="C46" s="12" t="s">
        <v>97</v>
      </c>
      <c r="D46" s="16">
        <f t="shared" si="0"/>
        <v>547.0812952556953</v>
      </c>
      <c r="E46" s="12" t="s">
        <v>98</v>
      </c>
      <c r="F46" s="16">
        <f t="shared" si="2"/>
        <v>1094.1625905113906</v>
      </c>
    </row>
    <row r="47" spans="1:6" ht="12.75">
      <c r="A47" s="20" t="s">
        <v>99</v>
      </c>
      <c r="B47" s="23">
        <f t="shared" si="1"/>
        <v>35.27278078174749</v>
      </c>
      <c r="C47" s="12" t="s">
        <v>100</v>
      </c>
      <c r="D47" s="16">
        <f t="shared" si="0"/>
        <v>602.9872318334575</v>
      </c>
      <c r="E47" s="12" t="s">
        <v>101</v>
      </c>
      <c r="F47" s="16">
        <f t="shared" si="2"/>
        <v>1205.974463666915</v>
      </c>
    </row>
    <row r="48" spans="1:6" ht="12.75">
      <c r="A48" s="20" t="s">
        <v>102</v>
      </c>
      <c r="B48" s="23">
        <f t="shared" si="1"/>
        <v>39.68187837946593</v>
      </c>
      <c r="C48" s="12" t="s">
        <v>103</v>
      </c>
      <c r="D48" s="16">
        <f t="shared" si="0"/>
        <v>629.586147860592</v>
      </c>
      <c r="E48" s="12" t="s">
        <v>104</v>
      </c>
      <c r="F48" s="16">
        <f t="shared" si="2"/>
        <v>1259.172295721184</v>
      </c>
    </row>
    <row r="49" spans="1:6" ht="12.75">
      <c r="A49" s="20" t="s">
        <v>105</v>
      </c>
      <c r="B49" s="23">
        <f t="shared" si="1"/>
        <v>44.090975977184364</v>
      </c>
      <c r="C49" s="12" t="s">
        <v>106</v>
      </c>
      <c r="D49" s="16">
        <f t="shared" si="0"/>
        <v>626.8762202938898</v>
      </c>
      <c r="E49" s="12" t="s">
        <v>107</v>
      </c>
      <c r="F49" s="16">
        <f t="shared" si="2"/>
        <v>1253.7524405877796</v>
      </c>
    </row>
    <row r="50" spans="1:6" ht="12.75">
      <c r="A50" s="20" t="s">
        <v>108</v>
      </c>
      <c r="B50" s="23">
        <f t="shared" si="1"/>
        <v>48.5000735749028</v>
      </c>
      <c r="C50" s="12" t="s">
        <v>109</v>
      </c>
      <c r="D50" s="16">
        <f t="shared" si="0"/>
        <v>598.0651056292737</v>
      </c>
      <c r="E50" s="12" t="s">
        <v>110</v>
      </c>
      <c r="F50" s="16">
        <f t="shared" si="2"/>
        <v>1196.1302112585474</v>
      </c>
    </row>
    <row r="51" spans="1:6" ht="12.75">
      <c r="A51" s="20" t="s">
        <v>111</v>
      </c>
      <c r="B51" s="23">
        <f t="shared" si="1"/>
        <v>52.909171172621235</v>
      </c>
      <c r="C51" s="12" t="s">
        <v>112</v>
      </c>
      <c r="D51" s="16">
        <f t="shared" si="0"/>
        <v>548.6261841244419</v>
      </c>
      <c r="E51" s="12" t="s">
        <v>113</v>
      </c>
      <c r="F51" s="16">
        <f t="shared" si="2"/>
        <v>1097.2523682488838</v>
      </c>
    </row>
    <row r="52" spans="1:6" ht="12.75">
      <c r="A52" s="20" t="s">
        <v>114</v>
      </c>
      <c r="B52" s="16">
        <f t="shared" si="1"/>
        <v>57.31826877033967</v>
      </c>
      <c r="C52" s="12" t="s">
        <v>115</v>
      </c>
      <c r="D52" s="105">
        <f t="shared" si="0"/>
        <v>485.2006081479635</v>
      </c>
      <c r="E52" s="12" t="s">
        <v>115</v>
      </c>
      <c r="F52" s="16">
        <f>D52</f>
        <v>485.2006081479635</v>
      </c>
    </row>
    <row r="53" spans="3:6" ht="12.75">
      <c r="C53" s="12"/>
      <c r="D53" s="12"/>
      <c r="E53" s="12" t="s">
        <v>831</v>
      </c>
      <c r="F53" s="16">
        <f>SUM(F39:F52)</f>
        <v>10277.568976661289</v>
      </c>
    </row>
    <row r="54" spans="2:6" ht="12.75">
      <c r="B54" t="s">
        <v>832</v>
      </c>
      <c r="C54" s="12"/>
      <c r="D54" s="7" t="s">
        <v>116</v>
      </c>
      <c r="E54" s="12"/>
      <c r="F54" s="16">
        <f>B38/2*F53</f>
        <v>22657.40234269141</v>
      </c>
    </row>
    <row r="55" spans="3:7" ht="12.75">
      <c r="C55" s="12"/>
      <c r="D55" t="s">
        <v>623</v>
      </c>
      <c r="E55" s="12"/>
      <c r="F55" s="81">
        <f>2*PI()*D29*F54</f>
        <v>28246.040549693455</v>
      </c>
      <c r="G55" s="12" t="s">
        <v>117</v>
      </c>
    </row>
    <row r="56" spans="1:6" ht="12.75">
      <c r="A56" t="s">
        <v>118</v>
      </c>
      <c r="C56" s="12"/>
      <c r="E56" s="12"/>
      <c r="F56" s="4"/>
    </row>
    <row r="57" ht="13.5" thickBot="1">
      <c r="A57" t="s">
        <v>119</v>
      </c>
    </row>
    <row r="58" spans="1:7" ht="12.75">
      <c r="A58" s="106" t="s">
        <v>120</v>
      </c>
      <c r="B58" s="107"/>
      <c r="C58" s="107"/>
      <c r="D58" s="107"/>
      <c r="E58" s="107"/>
      <c r="F58" s="108">
        <f>F1</f>
        <v>34824.57030520833</v>
      </c>
      <c r="G58" s="109"/>
    </row>
    <row r="59" spans="1:7" ht="12.75">
      <c r="A59" s="110" t="s">
        <v>121</v>
      </c>
      <c r="B59" s="89" t="s">
        <v>122</v>
      </c>
      <c r="C59" s="90"/>
      <c r="D59" s="90"/>
      <c r="E59" s="90"/>
      <c r="F59" s="91">
        <f>F2</f>
        <v>34824.57030520833</v>
      </c>
      <c r="G59" s="111"/>
    </row>
    <row r="60" spans="1:7" ht="12.75">
      <c r="A60" s="110" t="s">
        <v>123</v>
      </c>
      <c r="B60" s="89" t="str">
        <f>B1</f>
        <v>Flixborough Reactor</v>
      </c>
      <c r="C60" s="90"/>
      <c r="D60" s="90"/>
      <c r="E60" s="90"/>
      <c r="F60" s="46"/>
      <c r="G60" s="111"/>
    </row>
    <row r="61" spans="1:7" ht="12.75">
      <c r="A61" s="110" t="str">
        <f>A2</f>
        <v>Case</v>
      </c>
      <c r="B61" s="89" t="str">
        <f>B2</f>
        <v>Rapid Depressurization In Vapor Phase - No Liquid Entrainment</v>
      </c>
      <c r="C61" s="90"/>
      <c r="D61" s="90"/>
      <c r="E61" s="90"/>
      <c r="F61" s="46"/>
      <c r="G61" s="111"/>
    </row>
    <row r="62" spans="1:7" ht="12.75">
      <c r="A62" s="112" t="s">
        <v>124</v>
      </c>
      <c r="B62" s="92">
        <f>F27</f>
        <v>0.36002612671456585</v>
      </c>
      <c r="C62" s="93" t="str">
        <f>IF(B62&gt;0.35,"Flash Greater than 35% - Use Total Inventory","Flash &lt; 35% - Use Flash Kgms")</f>
        <v>Flash Greater than 35% - Use Total Inventory</v>
      </c>
      <c r="D62" s="90"/>
      <c r="E62" s="90"/>
      <c r="F62" s="94" t="s">
        <v>125</v>
      </c>
      <c r="G62" s="111"/>
    </row>
    <row r="63" spans="1:7" ht="12.75">
      <c r="A63" s="113" t="str">
        <f>IF(F27&gt;0.35,"Max Storage Quantity =","Flash Quantity =")</f>
        <v>Max Storage Quantity =</v>
      </c>
      <c r="B63" s="95">
        <f>IF(F27&gt;0.35,D14*1000,D27*1000)</f>
        <v>111103.0478955003</v>
      </c>
      <c r="C63" s="46" t="s">
        <v>68</v>
      </c>
      <c r="D63" s="57">
        <f>D6</f>
        <v>0.7504015318627453</v>
      </c>
      <c r="E63" s="46" t="s">
        <v>126</v>
      </c>
      <c r="F63" s="46"/>
      <c r="G63" s="111"/>
    </row>
    <row r="64" spans="1:7" ht="12.75">
      <c r="A64" s="112" t="s">
        <v>127</v>
      </c>
      <c r="B64" s="95">
        <f>D32</f>
        <v>28246.040549693455</v>
      </c>
      <c r="C64" s="46" t="s">
        <v>68</v>
      </c>
      <c r="D64" s="46" t="s">
        <v>128</v>
      </c>
      <c r="E64" s="46"/>
      <c r="F64" s="46"/>
      <c r="G64" s="111"/>
    </row>
    <row r="65" spans="1:7" ht="13.5" thickBot="1">
      <c r="A65" s="112" t="s">
        <v>129</v>
      </c>
      <c r="B65" s="96">
        <f>6.48*B63^0.325</f>
        <v>282.77170283144426</v>
      </c>
      <c r="C65" s="46" t="s">
        <v>64</v>
      </c>
      <c r="D65" s="46" t="s">
        <v>612</v>
      </c>
      <c r="E65" s="46"/>
      <c r="F65" s="46" t="s">
        <v>131</v>
      </c>
      <c r="G65" s="111"/>
    </row>
    <row r="66" spans="1:7" ht="13.5" thickBot="1">
      <c r="A66" s="112" t="s">
        <v>132</v>
      </c>
      <c r="B66" s="198">
        <f>0.852*B63^0.26</f>
        <v>17.471425785845103</v>
      </c>
      <c r="C66" s="46" t="s">
        <v>133</v>
      </c>
      <c r="D66" s="46" t="s">
        <v>612</v>
      </c>
      <c r="E66" s="46"/>
      <c r="F66" s="46" t="s">
        <v>134</v>
      </c>
      <c r="G66" s="111"/>
    </row>
    <row r="67" spans="1:7" ht="12.75">
      <c r="A67" s="112" t="s">
        <v>135</v>
      </c>
      <c r="B67" s="96">
        <f>0.5*B65</f>
        <v>141.38585141572213</v>
      </c>
      <c r="C67" s="46" t="s">
        <v>64</v>
      </c>
      <c r="D67" s="46" t="s">
        <v>136</v>
      </c>
      <c r="E67" s="46"/>
      <c r="F67" s="46" t="s">
        <v>137</v>
      </c>
      <c r="G67" s="111"/>
    </row>
    <row r="68" spans="1:9" ht="12.75">
      <c r="A68" s="112" t="s">
        <v>138</v>
      </c>
      <c r="B68" s="96">
        <f>1.3*B65</f>
        <v>367.60321368087756</v>
      </c>
      <c r="C68" s="46" t="s">
        <v>64</v>
      </c>
      <c r="D68" s="46" t="s">
        <v>130</v>
      </c>
      <c r="E68" s="46"/>
      <c r="F68" s="46" t="s">
        <v>139</v>
      </c>
      <c r="G68" s="111"/>
      <c r="I68" t="s">
        <v>140</v>
      </c>
    </row>
    <row r="69" spans="1:9" ht="12.75">
      <c r="A69" s="112" t="s">
        <v>141</v>
      </c>
      <c r="B69" s="97">
        <v>2</v>
      </c>
      <c r="C69" s="98" t="s">
        <v>142</v>
      </c>
      <c r="D69" s="49">
        <v>10</v>
      </c>
      <c r="E69" s="46"/>
      <c r="F69" s="46"/>
      <c r="G69" s="111"/>
      <c r="I69">
        <f>B80/B81*B71</f>
        <v>265.38285928232864</v>
      </c>
    </row>
    <row r="70" spans="1:9" ht="13.5" thickBot="1">
      <c r="A70" s="112" t="s">
        <v>143</v>
      </c>
      <c r="B70" s="99">
        <f>IF(0.27*((B11)*6894.8/1000000)^0.32&lt;0.2,0.2,IF(0.27*((B11)*6894.8/1000000)^0.32&gt;0.4,0.4,0.27*((B11)*6894.8/1000000)^0.32))</f>
        <v>0.25411406189268376</v>
      </c>
      <c r="C70" s="98" t="s">
        <v>144</v>
      </c>
      <c r="D70" s="100"/>
      <c r="E70" s="46"/>
      <c r="F70" s="49" t="s">
        <v>145</v>
      </c>
      <c r="G70" s="114" t="s">
        <v>146</v>
      </c>
      <c r="I70">
        <f>0.5*B71+0.5*I69</f>
        <v>265.38285737996273</v>
      </c>
    </row>
    <row r="71" spans="1:7" ht="13.5" thickBot="1">
      <c r="A71" s="112" t="s">
        <v>147</v>
      </c>
      <c r="B71" s="198">
        <f>IF(B69=1,D69,I70)</f>
        <v>265.38285737996273</v>
      </c>
      <c r="C71" s="98" t="s">
        <v>64</v>
      </c>
      <c r="D71" s="48">
        <f>B71*3.2808</f>
        <v>870.6680784921817</v>
      </c>
      <c r="E71" s="46" t="s">
        <v>148</v>
      </c>
      <c r="F71" s="46"/>
      <c r="G71" s="111"/>
    </row>
    <row r="72" spans="1:7" ht="12.75">
      <c r="A72" s="112" t="s">
        <v>149</v>
      </c>
      <c r="B72" s="101">
        <f>B65^2/4/((B71^2+B67^2)^0.5)^2</f>
        <v>0.2210837948763401</v>
      </c>
      <c r="C72" s="98"/>
      <c r="D72" s="46"/>
      <c r="E72" s="46" t="s">
        <v>150</v>
      </c>
      <c r="F72" s="46"/>
      <c r="G72" s="111" t="s">
        <v>151</v>
      </c>
    </row>
    <row r="73" spans="1:7" ht="12.75">
      <c r="A73" s="112" t="s">
        <v>152</v>
      </c>
      <c r="B73" s="96">
        <f>(B67^2+B71^2)^0.5-0.5*B65</f>
        <v>159.3100414257038</v>
      </c>
      <c r="C73" s="98" t="s">
        <v>64</v>
      </c>
      <c r="D73" s="46" t="s">
        <v>153</v>
      </c>
      <c r="E73" s="46"/>
      <c r="F73" s="46" t="s">
        <v>154</v>
      </c>
      <c r="G73" s="111"/>
    </row>
    <row r="74" spans="1:7" ht="12.75">
      <c r="A74" s="112" t="s">
        <v>155</v>
      </c>
      <c r="B74" s="96">
        <f>B16</f>
        <v>70</v>
      </c>
      <c r="C74" s="98" t="s">
        <v>31</v>
      </c>
      <c r="D74" s="46"/>
      <c r="E74" s="46"/>
      <c r="F74" s="46"/>
      <c r="G74" s="111"/>
    </row>
    <row r="75" spans="1:7" ht="12.75">
      <c r="A75" s="112" t="s">
        <v>156</v>
      </c>
      <c r="B75" s="101">
        <f>0.08+0.000000281*B74^3.25</f>
        <v>0.3587885608318948</v>
      </c>
      <c r="C75" s="98" t="s">
        <v>42</v>
      </c>
      <c r="D75" s="46" t="s">
        <v>157</v>
      </c>
      <c r="E75" s="46"/>
      <c r="F75" s="46"/>
      <c r="G75" s="111"/>
    </row>
    <row r="76" spans="1:7" ht="12.75">
      <c r="A76" s="112" t="s">
        <v>158</v>
      </c>
      <c r="B76" s="101">
        <f>0.01*SVP*100*RH/(PSIA-0.01*RH*SVP*100)</f>
        <v>0.02082959290421132</v>
      </c>
      <c r="C76" s="98"/>
      <c r="D76" s="46" t="s">
        <v>157</v>
      </c>
      <c r="E76" s="46"/>
      <c r="F76" s="46"/>
      <c r="G76" s="111"/>
    </row>
    <row r="77" spans="1:7" ht="12.75">
      <c r="A77" s="112" t="s">
        <v>159</v>
      </c>
      <c r="B77" s="101">
        <f>B76*100/(B76*100+100)*B17</f>
        <v>0.29994723685546404</v>
      </c>
      <c r="C77" s="98" t="s">
        <v>42</v>
      </c>
      <c r="D77" s="102">
        <f>B77*6894.8</f>
        <v>2068.0762086710533</v>
      </c>
      <c r="E77" s="49" t="s">
        <v>43</v>
      </c>
      <c r="F77" s="46"/>
      <c r="G77" s="111"/>
    </row>
    <row r="78" spans="1:7" ht="12.75">
      <c r="A78" s="112" t="s">
        <v>160</v>
      </c>
      <c r="B78" s="101">
        <f>2.02*(D77*B73)^-0.09</f>
        <v>0.6437963311839443</v>
      </c>
      <c r="C78" s="46" t="s">
        <v>161</v>
      </c>
      <c r="D78" s="46"/>
      <c r="E78" s="46" t="s">
        <v>162</v>
      </c>
      <c r="F78" s="46"/>
      <c r="G78" s="111"/>
    </row>
    <row r="79" spans="1:7" ht="13.5" thickBot="1">
      <c r="A79" s="112" t="s">
        <v>163</v>
      </c>
      <c r="B79" s="103">
        <f>B70*B63*D25*1000/PI()/B65^2/B66</f>
        <v>279.8052594235367</v>
      </c>
      <c r="C79" s="98" t="s">
        <v>164</v>
      </c>
      <c r="D79" s="46"/>
      <c r="E79" s="46" t="s">
        <v>165</v>
      </c>
      <c r="F79" s="46"/>
      <c r="G79" s="111"/>
    </row>
    <row r="80" spans="1:7" ht="12.75">
      <c r="A80" s="112" t="s">
        <v>166</v>
      </c>
      <c r="B80" s="199">
        <f>B78*B79*B72</f>
        <v>39.82550408915987</v>
      </c>
      <c r="C80" s="98" t="s">
        <v>167</v>
      </c>
      <c r="D80" s="46"/>
      <c r="E80" s="46" t="s">
        <v>168</v>
      </c>
      <c r="F80" s="46"/>
      <c r="G80" s="111"/>
    </row>
    <row r="81" spans="1:11" ht="13.5" thickBot="1">
      <c r="A81" s="112" t="s">
        <v>835</v>
      </c>
      <c r="B81" s="200">
        <f>E276</f>
        <v>39.825504000702495</v>
      </c>
      <c r="C81" s="98" t="s">
        <v>169</v>
      </c>
      <c r="D81" s="46"/>
      <c r="E81" s="104"/>
      <c r="F81" s="46"/>
      <c r="G81" s="111"/>
      <c r="H81" s="12" t="s">
        <v>12</v>
      </c>
      <c r="I81" s="12" t="s">
        <v>170</v>
      </c>
      <c r="J81" t="s">
        <v>171</v>
      </c>
      <c r="K81" t="s">
        <v>172</v>
      </c>
    </row>
    <row r="82" spans="1:9" ht="13.5" thickBot="1">
      <c r="A82" s="115"/>
      <c r="B82" s="116"/>
      <c r="C82" s="117"/>
      <c r="D82" s="118"/>
      <c r="E82" s="116"/>
      <c r="F82" s="118"/>
      <c r="G82" s="119"/>
      <c r="H82" s="12"/>
      <c r="I82" s="12"/>
    </row>
    <row r="83" spans="1:14" ht="12.75">
      <c r="A83" s="120" t="s">
        <v>173</v>
      </c>
      <c r="B83" s="121"/>
      <c r="C83" s="122"/>
      <c r="D83" s="123"/>
      <c r="E83" s="121"/>
      <c r="F83" s="107"/>
      <c r="G83" s="109"/>
      <c r="H83" s="12">
        <v>1</v>
      </c>
      <c r="I83" s="33">
        <f>4.5*(H83)^0.33</f>
        <v>4.5</v>
      </c>
      <c r="J83" s="34">
        <f>22*I83^0.379*(H83)^0.307</f>
        <v>38.90363872493503</v>
      </c>
      <c r="K83" s="9" t="s">
        <v>174</v>
      </c>
      <c r="M83">
        <f>H83</f>
        <v>1</v>
      </c>
      <c r="N83" s="34">
        <f>J83</f>
        <v>38.90363872493503</v>
      </c>
    </row>
    <row r="84" spans="1:14" ht="12.75">
      <c r="A84" s="112" t="s">
        <v>175</v>
      </c>
      <c r="B84" s="96">
        <f>-14.9+2.56*LN(B66*(B80*1000)^1.333333/10000)</f>
        <v>4.999494112963598</v>
      </c>
      <c r="C84" s="98"/>
      <c r="D84" s="46"/>
      <c r="E84" s="124" t="s">
        <v>176</v>
      </c>
      <c r="F84" s="46"/>
      <c r="G84" s="111"/>
      <c r="H84" s="12">
        <v>10</v>
      </c>
      <c r="I84" s="33">
        <f>4.5*(H84)^0.33</f>
        <v>9.620829402760045</v>
      </c>
      <c r="J84" s="34">
        <f>22*I84^0.379*(H84)^0.307</f>
        <v>105.21077593147878</v>
      </c>
      <c r="K84" s="9" t="s">
        <v>174</v>
      </c>
      <c r="M84">
        <f>H84</f>
        <v>10</v>
      </c>
      <c r="N84" s="34">
        <f>J84</f>
        <v>105.21077593147878</v>
      </c>
    </row>
    <row r="85" spans="1:14" ht="12.75">
      <c r="A85" s="112" t="s">
        <v>177</v>
      </c>
      <c r="B85" s="92">
        <f>IF(B84&lt;2.67,0,IF(B84&lt;=5,-225.8651+269.224*B84-117.7145*B84^2+21.9692*B84^3-1.3974*B84^4,0))/100</f>
        <v>0.5014662429255895</v>
      </c>
      <c r="C85" s="46" t="s">
        <v>178</v>
      </c>
      <c r="D85" s="46"/>
      <c r="E85" s="104"/>
      <c r="F85" s="46"/>
      <c r="G85" s="111"/>
      <c r="H85" s="12">
        <v>50</v>
      </c>
      <c r="I85" s="33">
        <f>4.5*(H85)^0.33</f>
        <v>16.363364900945363</v>
      </c>
      <c r="J85" s="34">
        <f>22*I85^0.379*(H85)^0.307</f>
        <v>210.8939850505605</v>
      </c>
      <c r="K85" s="9" t="s">
        <v>174</v>
      </c>
      <c r="M85">
        <f>H85</f>
        <v>50</v>
      </c>
      <c r="N85" s="34">
        <f>J85</f>
        <v>210.8939850505605</v>
      </c>
    </row>
    <row r="86" spans="1:14" ht="12.75">
      <c r="A86" s="112" t="s">
        <v>177</v>
      </c>
      <c r="B86" s="92">
        <f>IF(B84&gt;7.88,100,IF(B84&gt;5,437.5378-438.7351*B84+137.4965*B84^2-16.4895*B84^3+0.6873*B84^4,0))/100</f>
        <v>0</v>
      </c>
      <c r="C86" s="46" t="s">
        <v>179</v>
      </c>
      <c r="D86" s="46"/>
      <c r="E86" s="104"/>
      <c r="F86" s="46"/>
      <c r="G86" s="111"/>
      <c r="H86" s="12">
        <v>100</v>
      </c>
      <c r="I86" s="33">
        <f>4.5*(H86)^0.33</f>
        <v>20.568968532669377</v>
      </c>
      <c r="J86" s="34">
        <f>22*I86^0.379*(H86)^0.307</f>
        <v>284.531414924153</v>
      </c>
      <c r="K86" s="9" t="s">
        <v>174</v>
      </c>
      <c r="M86">
        <f>H86</f>
        <v>100</v>
      </c>
      <c r="N86" s="34">
        <f>J86</f>
        <v>284.531414924153</v>
      </c>
    </row>
    <row r="87" spans="1:10" ht="12.75">
      <c r="A87" s="112" t="s">
        <v>180</v>
      </c>
      <c r="B87" s="92">
        <f>IF(B85&lt;0,0,IF(B86&gt;1,1,B86+B85))</f>
        <v>0.5014662429255895</v>
      </c>
      <c r="C87" s="98" t="str">
        <f>IF(B87=0,"Consult Mudan Chart","% Fatality at spec'd distance &amp; BLEVE Duration")</f>
        <v>% Fatality at spec'd distance &amp; BLEVE Duration</v>
      </c>
      <c r="D87" s="46"/>
      <c r="E87" s="104"/>
      <c r="F87" s="46"/>
      <c r="G87" s="111"/>
      <c r="H87">
        <v>124.966</v>
      </c>
      <c r="I87" s="33">
        <f>4.5*(H87)^0.33</f>
        <v>22.13878743860068</v>
      </c>
      <c r="J87" s="34">
        <f>22*I87^0.379*(H87)^0.307</f>
        <v>313.2932848713704</v>
      </c>
    </row>
    <row r="88" spans="1:7" ht="12.75">
      <c r="A88" s="112" t="s">
        <v>181</v>
      </c>
      <c r="B88" s="220">
        <f>(((-F285+(F285^2-4*(4*PI()*B66*B80/$D$253/($B$25*2.325)/($D$250/2.204))*F286)^0.5)/2/(4*PI()*B66*B80/$D$253/($B$25*2.325)/($D$250/2.204))*3.2808)^2-(D251/2)^2)^0.5/3.2808</f>
        <v>272.23192616212947</v>
      </c>
      <c r="C88" s="98" t="s">
        <v>64</v>
      </c>
      <c r="D88" s="46" t="s">
        <v>182</v>
      </c>
      <c r="E88" s="104" t="str">
        <f>B280</f>
        <v>Roberts</v>
      </c>
      <c r="F88" s="46" t="s">
        <v>183</v>
      </c>
      <c r="G88" s="111"/>
    </row>
    <row r="89" spans="1:7" ht="12.75">
      <c r="A89" s="112"/>
      <c r="B89" s="105"/>
      <c r="C89" s="98"/>
      <c r="D89" s="46"/>
      <c r="E89" s="104"/>
      <c r="F89" s="46"/>
      <c r="G89" s="111"/>
    </row>
    <row r="90" spans="1:7" ht="12.75">
      <c r="A90" s="112" t="s">
        <v>184</v>
      </c>
      <c r="B90" s="96">
        <f>4.5*(B63*2.204/2240)^0.33</f>
        <v>21.182638936461167</v>
      </c>
      <c r="C90" s="98" t="s">
        <v>185</v>
      </c>
      <c r="D90" s="46"/>
      <c r="E90" s="124" t="s">
        <v>186</v>
      </c>
      <c r="F90" s="46"/>
      <c r="G90" s="111"/>
    </row>
    <row r="91" spans="1:7" ht="12.75">
      <c r="A91" s="112" t="s">
        <v>187</v>
      </c>
      <c r="B91" s="221">
        <f>22*B90^0.379*(B63*2.204/2240)^0.307</f>
        <v>295.69692975787143</v>
      </c>
      <c r="C91" s="98" t="s">
        <v>64</v>
      </c>
      <c r="D91" s="46" t="s">
        <v>188</v>
      </c>
      <c r="E91" s="46" t="s">
        <v>186</v>
      </c>
      <c r="F91" s="46"/>
      <c r="G91" s="111"/>
    </row>
    <row r="92" spans="1:7" ht="12.75">
      <c r="A92" s="112" t="s">
        <v>189</v>
      </c>
      <c r="B92" s="221">
        <f>IF(B63*2.2046&gt;2000,1.48*(B63*2.2046)^0.56,8*(B63*2.2046)^0.333333)/3.2808</f>
        <v>470.05988910642094</v>
      </c>
      <c r="C92" s="98" t="s">
        <v>64</v>
      </c>
      <c r="D92" s="46" t="s">
        <v>190</v>
      </c>
      <c r="E92" s="46"/>
      <c r="F92" s="46"/>
      <c r="G92" s="111"/>
    </row>
    <row r="93" spans="1:7" ht="12.75">
      <c r="A93" s="112" t="s">
        <v>191</v>
      </c>
      <c r="B93" s="221">
        <f>4.53*(B63*2.2046)^0.52/3.2808</f>
        <v>875.8453919150357</v>
      </c>
      <c r="C93" s="98" t="s">
        <v>64</v>
      </c>
      <c r="D93" s="46" t="s">
        <v>192</v>
      </c>
      <c r="E93" s="46"/>
      <c r="F93" s="46"/>
      <c r="G93" s="111"/>
    </row>
    <row r="94" spans="1:7" ht="13.5" thickBot="1">
      <c r="A94" s="112"/>
      <c r="B94" s="104"/>
      <c r="C94" s="98"/>
      <c r="D94" s="46"/>
      <c r="E94" s="46"/>
      <c r="F94" s="46"/>
      <c r="G94" s="111"/>
    </row>
    <row r="95" spans="1:8" ht="12.75">
      <c r="A95" s="120" t="s">
        <v>193</v>
      </c>
      <c r="B95" s="122"/>
      <c r="C95" s="122"/>
      <c r="D95" s="123"/>
      <c r="E95" s="123"/>
      <c r="F95" s="107"/>
      <c r="G95" s="109"/>
      <c r="H95" s="46"/>
    </row>
    <row r="96" spans="1:9" ht="12.75">
      <c r="A96" s="112" t="s">
        <v>194</v>
      </c>
      <c r="B96" s="96">
        <f>B5-B6</f>
        <v>2121.5869791666655</v>
      </c>
      <c r="C96" s="98" t="s">
        <v>195</v>
      </c>
      <c r="D96" s="46"/>
      <c r="E96" s="46"/>
      <c r="F96" s="46"/>
      <c r="G96" s="111"/>
      <c r="H96" s="46"/>
      <c r="I96" t="s">
        <v>196</v>
      </c>
    </row>
    <row r="97" spans="1:8" ht="12.75">
      <c r="A97" s="112" t="s">
        <v>197</v>
      </c>
      <c r="B97" s="96">
        <f>E6</f>
        <v>111.1</v>
      </c>
      <c r="C97" s="98" t="s">
        <v>198</v>
      </c>
      <c r="D97" s="57">
        <f>D6</f>
        <v>0.7504015318627453</v>
      </c>
      <c r="E97" s="46" t="s">
        <v>199</v>
      </c>
      <c r="F97" s="46"/>
      <c r="G97" s="111"/>
      <c r="H97" s="46"/>
    </row>
    <row r="98" spans="1:11" ht="12.75">
      <c r="A98" s="112" t="s">
        <v>200</v>
      </c>
      <c r="B98" s="95">
        <f>0.0000014*(B5-B6)*(B11+B17)/B17*492/(B12+460)*1.987*(B12+460)*LN((B11+B17)/B17)</f>
        <v>58.94073649794113</v>
      </c>
      <c r="C98" s="98" t="s">
        <v>201</v>
      </c>
      <c r="D98" s="46"/>
      <c r="E98" s="46"/>
      <c r="F98" s="100" t="s">
        <v>202</v>
      </c>
      <c r="G98" s="111"/>
      <c r="H98" s="46"/>
      <c r="I98" s="12" t="s">
        <v>203</v>
      </c>
      <c r="J98" s="12" t="s">
        <v>204</v>
      </c>
      <c r="K98" s="12" t="s">
        <v>205</v>
      </c>
    </row>
    <row r="99" spans="1:11" ht="12.75">
      <c r="A99" s="112" t="s">
        <v>206</v>
      </c>
      <c r="B99" s="231">
        <f>(B98)^0.333333*9.85</f>
        <v>38.333119215291326</v>
      </c>
      <c r="C99" s="98" t="s">
        <v>207</v>
      </c>
      <c r="D99" s="46"/>
      <c r="E99" s="46"/>
      <c r="F99" s="100" t="s">
        <v>208</v>
      </c>
      <c r="G99" s="111"/>
      <c r="H99" s="46"/>
      <c r="I99" s="34">
        <f>B99/3.2808</f>
        <v>11.684076815194869</v>
      </c>
      <c r="J99" s="34">
        <f>10</f>
        <v>10</v>
      </c>
      <c r="K99" s="34">
        <f>J99*6.894</f>
        <v>68.94</v>
      </c>
    </row>
    <row r="100" spans="1:11" ht="12.75">
      <c r="A100" s="112" t="s">
        <v>209</v>
      </c>
      <c r="B100" s="231">
        <f>(B98)^0.333333*14.32</f>
        <v>55.72896113329663</v>
      </c>
      <c r="C100" s="98" t="s">
        <v>210</v>
      </c>
      <c r="D100" s="46"/>
      <c r="E100" s="46"/>
      <c r="F100" s="100" t="s">
        <v>208</v>
      </c>
      <c r="G100" s="111"/>
      <c r="H100" s="46"/>
      <c r="I100" s="34">
        <f>B100/3.2808</f>
        <v>16.986393907978734</v>
      </c>
      <c r="J100" s="34">
        <v>5</v>
      </c>
      <c r="K100" s="34">
        <f>J100*6.894</f>
        <v>34.47</v>
      </c>
    </row>
    <row r="101" spans="1:11" ht="12.75">
      <c r="A101" s="112" t="s">
        <v>211</v>
      </c>
      <c r="B101" s="231">
        <f>(B98)^0.333333*45</f>
        <v>175.12592534904667</v>
      </c>
      <c r="C101" s="98" t="s">
        <v>212</v>
      </c>
      <c r="D101" s="46"/>
      <c r="E101" s="100"/>
      <c r="F101" s="100" t="s">
        <v>208</v>
      </c>
      <c r="G101" s="111"/>
      <c r="H101" s="46"/>
      <c r="I101" s="34">
        <f>B101/3.2808</f>
        <v>53.37903113540803</v>
      </c>
      <c r="J101" s="34">
        <v>1</v>
      </c>
      <c r="K101" s="34">
        <f>J101*6.894</f>
        <v>6.894</v>
      </c>
    </row>
    <row r="102" spans="1:11" ht="13.5" thickBot="1">
      <c r="A102" s="115"/>
      <c r="B102" s="146"/>
      <c r="C102" s="117"/>
      <c r="D102" s="118"/>
      <c r="E102" s="149"/>
      <c r="F102" s="149"/>
      <c r="G102" s="119"/>
      <c r="H102" s="46"/>
      <c r="I102" t="s">
        <v>213</v>
      </c>
      <c r="K102" s="34"/>
    </row>
    <row r="103" spans="1:11" ht="12.75">
      <c r="A103" s="127" t="s">
        <v>214</v>
      </c>
      <c r="B103" s="128"/>
      <c r="C103" s="129"/>
      <c r="D103" s="130"/>
      <c r="E103" s="131"/>
      <c r="F103" s="46"/>
      <c r="G103" s="111"/>
      <c r="H103" s="46"/>
      <c r="I103" s="34">
        <v>15</v>
      </c>
      <c r="J103" s="34">
        <f>37.2/6.894</f>
        <v>5.395996518711923</v>
      </c>
      <c r="K103" s="34">
        <f>J103*6.894</f>
        <v>37.2</v>
      </c>
    </row>
    <row r="104" spans="1:11" ht="12.75">
      <c r="A104" s="112"/>
      <c r="B104" s="102"/>
      <c r="C104" s="98"/>
      <c r="D104" s="46"/>
      <c r="E104" s="100"/>
      <c r="F104" s="46"/>
      <c r="G104" s="111"/>
      <c r="H104" s="46"/>
      <c r="I104" s="34">
        <f>I103</f>
        <v>15</v>
      </c>
      <c r="J104" s="34">
        <f>J103</f>
        <v>5.395996518711923</v>
      </c>
      <c r="K104" s="34">
        <f>J104*6.894</f>
        <v>37.2</v>
      </c>
    </row>
    <row r="105" spans="1:11" ht="12.75">
      <c r="A105" s="112" t="s">
        <v>215</v>
      </c>
      <c r="B105" s="95">
        <f>IF(AND(E5&gt;700,E5&lt;2500),-3.77+0.0096*E5,10)</f>
        <v>10</v>
      </c>
      <c r="C105" s="98" t="str">
        <f>IF(AND(E5&gt;700,E5&lt;2500),"Valid Range","Outside Range, Assumed 10")</f>
        <v>Outside Range, Assumed 10</v>
      </c>
      <c r="D105" s="46"/>
      <c r="E105" s="46" t="s">
        <v>216</v>
      </c>
      <c r="F105" s="46"/>
      <c r="G105" s="111"/>
      <c r="H105" s="46"/>
      <c r="I105" t="s">
        <v>217</v>
      </c>
      <c r="K105" s="34"/>
    </row>
    <row r="106" spans="1:11" ht="12.75">
      <c r="A106" s="112" t="s">
        <v>218</v>
      </c>
      <c r="B106" s="95">
        <f>B9/B105</f>
        <v>8500</v>
      </c>
      <c r="C106" s="98" t="s">
        <v>22</v>
      </c>
      <c r="D106" s="95">
        <f>B106/2.204</f>
        <v>3856.6243194192375</v>
      </c>
      <c r="E106" s="46" t="s">
        <v>68</v>
      </c>
      <c r="F106" s="46"/>
      <c r="G106" s="111"/>
      <c r="H106" s="46"/>
      <c r="I106" s="34">
        <v>15</v>
      </c>
      <c r="J106" s="34">
        <f>32.1/6.894</f>
        <v>4.6562228024369015</v>
      </c>
      <c r="K106" s="34">
        <f>J106*6.894</f>
        <v>32.1</v>
      </c>
    </row>
    <row r="107" spans="1:11" ht="12.75">
      <c r="A107" s="112" t="s">
        <v>219</v>
      </c>
      <c r="B107" s="95">
        <f>B7/B105</f>
        <v>232.5</v>
      </c>
      <c r="C107" s="98" t="s">
        <v>220</v>
      </c>
      <c r="D107" s="95">
        <f>B107/3.2808/3.2808</f>
        <v>21.6004821205312</v>
      </c>
      <c r="E107" s="46" t="s">
        <v>221</v>
      </c>
      <c r="F107" s="46"/>
      <c r="G107" s="111"/>
      <c r="H107" s="46"/>
      <c r="I107" s="34">
        <f>I106</f>
        <v>15</v>
      </c>
      <c r="J107" s="34">
        <f>J106</f>
        <v>4.6562228024369015</v>
      </c>
      <c r="K107" s="34">
        <f>J107*6.894</f>
        <v>32.1</v>
      </c>
    </row>
    <row r="108" spans="1:8" ht="12.75">
      <c r="A108" s="112" t="s">
        <v>222</v>
      </c>
      <c r="B108" s="95">
        <f>(B107*144/0.785)^0.5</f>
        <v>206.51799323221795</v>
      </c>
      <c r="C108" s="98" t="s">
        <v>18</v>
      </c>
      <c r="D108" s="46"/>
      <c r="E108" s="46"/>
      <c r="F108" s="46"/>
      <c r="G108" s="111"/>
      <c r="H108" s="46"/>
    </row>
    <row r="109" spans="1:8" ht="12.75">
      <c r="A109" s="112" t="s">
        <v>223</v>
      </c>
      <c r="B109" s="95">
        <f>2.05*(B11*B108^3/B106)^0.5</f>
        <v>722.8894151214062</v>
      </c>
      <c r="C109" s="98" t="s">
        <v>224</v>
      </c>
      <c r="D109" s="95">
        <f>B109/3.2808</f>
        <v>220.33937305578095</v>
      </c>
      <c r="E109" s="46" t="s">
        <v>225</v>
      </c>
      <c r="F109" s="46"/>
      <c r="G109" s="111"/>
      <c r="H109" s="46"/>
    </row>
    <row r="110" spans="1:8" ht="12.75">
      <c r="A110" s="112" t="s">
        <v>226</v>
      </c>
      <c r="B110" s="101">
        <f>29*B17/10.73/(B16+460)</f>
        <v>0.07496175420703723</v>
      </c>
      <c r="C110" s="98" t="s">
        <v>37</v>
      </c>
      <c r="D110" s="96">
        <f>B110*16.018</f>
        <v>1.2007373788883224</v>
      </c>
      <c r="E110" s="46" t="s">
        <v>227</v>
      </c>
      <c r="F110" s="46"/>
      <c r="G110" s="111"/>
      <c r="H110" s="46"/>
    </row>
    <row r="111" spans="1:8" ht="12.75">
      <c r="A111" s="132" t="s">
        <v>228</v>
      </c>
      <c r="B111" s="133" t="s">
        <v>229</v>
      </c>
      <c r="C111" s="133" t="s">
        <v>230</v>
      </c>
      <c r="D111" s="134" t="s">
        <v>231</v>
      </c>
      <c r="E111" s="46" t="s">
        <v>622</v>
      </c>
      <c r="F111" s="46"/>
      <c r="G111" s="111"/>
      <c r="H111" s="46"/>
    </row>
    <row r="112" spans="1:8" ht="12.75">
      <c r="A112" s="132" t="s">
        <v>232</v>
      </c>
      <c r="B112" s="133">
        <v>0.47</v>
      </c>
      <c r="C112" s="133">
        <v>0.8</v>
      </c>
      <c r="D112" s="133">
        <v>1.17</v>
      </c>
      <c r="E112" s="46" t="s">
        <v>622</v>
      </c>
      <c r="F112" s="46"/>
      <c r="G112" s="111"/>
      <c r="H112" s="46"/>
    </row>
    <row r="113" spans="1:8" ht="12.75">
      <c r="A113" s="132" t="s">
        <v>233</v>
      </c>
      <c r="B113" s="95">
        <f>$B$110*B112*$B$107*$B$109^2/$B$106/32.17</f>
        <v>15.654323376295284</v>
      </c>
      <c r="C113" s="95">
        <f>$B$110*C112*$B$107*$B$109^2/$B$106/32.17</f>
        <v>26.64565681071538</v>
      </c>
      <c r="D113" s="95">
        <f>$B$110*D112*$B$107*$B$109^2/$B$106/32.17</f>
        <v>38.96927308567123</v>
      </c>
      <c r="E113" s="46" t="str">
        <f>IF(AND(B113&gt;10,B113&lt;1000),"Correlation In range","Correlation Out Of Range")</f>
        <v>Correlation In range</v>
      </c>
      <c r="F113" s="46"/>
      <c r="G113" s="111"/>
      <c r="H113" s="46"/>
    </row>
    <row r="114" spans="1:8" ht="12.75">
      <c r="A114" s="132" t="s">
        <v>234</v>
      </c>
      <c r="B114" s="96">
        <f>0.46667+2.2*LOG10(B113)</f>
        <v>3.0948654620561533</v>
      </c>
      <c r="C114" s="96">
        <f>0.46667+2.2*LOG10(C113)</f>
        <v>3.6030481459798507</v>
      </c>
      <c r="D114" s="96">
        <f>0.46667+2.2*LOG10(D113)</f>
        <v>3.96625907043913</v>
      </c>
      <c r="E114" s="46" t="s">
        <v>235</v>
      </c>
      <c r="F114" s="46"/>
      <c r="G114" s="111"/>
      <c r="H114" s="46"/>
    </row>
    <row r="115" spans="1:8" ht="13.5" thickBot="1">
      <c r="A115" s="132" t="s">
        <v>236</v>
      </c>
      <c r="B115" s="95">
        <f>B114*$B$106/$B$110/B112/$B$107</f>
        <v>3211.4424510515655</v>
      </c>
      <c r="C115" s="95">
        <f>C114*$B$106/$B$110/C112/$B$107</f>
        <v>2196.5257852850978</v>
      </c>
      <c r="D115" s="95">
        <f>D114*$B$106/$B$110/D112/$B$107</f>
        <v>1653.2991556927136</v>
      </c>
      <c r="E115" s="46" t="s">
        <v>148</v>
      </c>
      <c r="F115" s="46"/>
      <c r="G115" s="111"/>
      <c r="H115" s="46"/>
    </row>
    <row r="116" spans="1:8" ht="13.5" thickBot="1">
      <c r="A116" s="132" t="s">
        <v>236</v>
      </c>
      <c r="B116" s="198">
        <f>B115/3.2808</f>
        <v>978.8595620127912</v>
      </c>
      <c r="C116" s="201">
        <f>C115/3.2808</f>
        <v>669.5092005867768</v>
      </c>
      <c r="D116" s="198">
        <f>D115/3.2808</f>
        <v>503.93171046473833</v>
      </c>
      <c r="E116" s="46" t="s">
        <v>64</v>
      </c>
      <c r="F116" s="46"/>
      <c r="G116" s="111" t="s">
        <v>237</v>
      </c>
      <c r="H116" s="46"/>
    </row>
    <row r="117" spans="1:8" ht="12.75">
      <c r="A117" s="120" t="s">
        <v>238</v>
      </c>
      <c r="B117" s="129"/>
      <c r="C117" s="129"/>
      <c r="D117" s="130"/>
      <c r="E117" s="123"/>
      <c r="F117" s="108">
        <f>F1</f>
        <v>34824.57030520833</v>
      </c>
      <c r="G117" s="109"/>
      <c r="H117" s="46"/>
    </row>
    <row r="118" spans="1:8" ht="12.75">
      <c r="A118" s="110"/>
      <c r="B118" s="46"/>
      <c r="C118" s="46"/>
      <c r="D118" s="46"/>
      <c r="E118" s="46"/>
      <c r="F118" s="91">
        <f>F2</f>
        <v>34824.57030520833</v>
      </c>
      <c r="G118" s="111"/>
      <c r="H118" s="46"/>
    </row>
    <row r="119" spans="1:8" ht="12.75">
      <c r="A119" s="110" t="s">
        <v>239</v>
      </c>
      <c r="B119" s="46"/>
      <c r="C119" s="46"/>
      <c r="D119" s="46"/>
      <c r="E119" s="46"/>
      <c r="F119" s="46"/>
      <c r="G119" s="111"/>
      <c r="H119" s="46"/>
    </row>
    <row r="120" spans="1:8" ht="12.75">
      <c r="A120" s="110"/>
      <c r="B120" s="46"/>
      <c r="C120" s="46"/>
      <c r="D120" s="46"/>
      <c r="E120" s="46"/>
      <c r="F120" s="46"/>
      <c r="G120" s="111"/>
      <c r="H120" s="46"/>
    </row>
    <row r="121" spans="1:8" ht="12.75">
      <c r="A121" s="110" t="s">
        <v>240</v>
      </c>
      <c r="B121" s="96">
        <f>D27</f>
        <v>39.99999999999987</v>
      </c>
      <c r="C121" s="46" t="s">
        <v>241</v>
      </c>
      <c r="D121" s="102"/>
      <c r="E121" s="95">
        <f>B27</f>
        <v>88183.99999999971</v>
      </c>
      <c r="F121" s="46" t="s">
        <v>242</v>
      </c>
      <c r="G121" s="111"/>
      <c r="H121" s="46"/>
    </row>
    <row r="122" spans="1:8" ht="12.75">
      <c r="A122" s="110" t="s">
        <v>243</v>
      </c>
      <c r="B122" s="96">
        <f>D32/1000</f>
        <v>28.246040549693454</v>
      </c>
      <c r="C122" s="46" t="s">
        <v>244</v>
      </c>
      <c r="D122" s="49"/>
      <c r="E122" s="95">
        <f>B122*2204</f>
        <v>62254.273371524374</v>
      </c>
      <c r="F122" s="46" t="s">
        <v>245</v>
      </c>
      <c r="G122" s="111"/>
      <c r="H122" s="46"/>
    </row>
    <row r="123" spans="1:8" ht="12.75">
      <c r="A123" s="110"/>
      <c r="B123" s="135"/>
      <c r="C123" s="46"/>
      <c r="D123" s="49"/>
      <c r="E123" s="46"/>
      <c r="F123" s="46"/>
      <c r="G123" s="111"/>
      <c r="H123" s="46"/>
    </row>
    <row r="124" spans="1:8" ht="12.75">
      <c r="A124" s="110" t="s">
        <v>246</v>
      </c>
      <c r="B124" s="133" t="s">
        <v>5</v>
      </c>
      <c r="C124" s="136" t="s">
        <v>247</v>
      </c>
      <c r="D124" s="136" t="s">
        <v>248</v>
      </c>
      <c r="E124" s="136" t="s">
        <v>249</v>
      </c>
      <c r="F124" s="137"/>
      <c r="G124" s="111"/>
      <c r="H124" s="46"/>
    </row>
    <row r="125" spans="1:8" ht="12.75">
      <c r="A125" s="110"/>
      <c r="B125" s="138"/>
      <c r="C125" s="137"/>
      <c r="D125" s="137"/>
      <c r="E125" s="137"/>
      <c r="F125" s="137"/>
      <c r="G125" s="111"/>
      <c r="H125" s="46"/>
    </row>
    <row r="126" spans="1:8" ht="12.75">
      <c r="A126" s="110" t="s">
        <v>250</v>
      </c>
      <c r="B126" s="139">
        <f>B26</f>
        <v>9</v>
      </c>
      <c r="C126" s="46" t="s">
        <v>251</v>
      </c>
      <c r="D126" s="49"/>
      <c r="E126" s="46" t="s">
        <v>252</v>
      </c>
      <c r="F126" s="53">
        <f>B132</f>
        <v>114.6785505126991</v>
      </c>
      <c r="G126" s="111"/>
      <c r="H126" s="46"/>
    </row>
    <row r="127" spans="1:8" ht="12.75">
      <c r="A127" s="110" t="s">
        <v>253</v>
      </c>
      <c r="B127" s="96">
        <f>1/0.2</f>
        <v>5</v>
      </c>
      <c r="C127" s="46" t="s">
        <v>733</v>
      </c>
      <c r="D127" s="49"/>
      <c r="E127" s="46" t="s">
        <v>254</v>
      </c>
      <c r="F127" s="53">
        <f>E149</f>
        <v>183.74698664500627</v>
      </c>
      <c r="G127" s="111"/>
      <c r="H127" s="46"/>
    </row>
    <row r="128" spans="1:8" ht="12.75">
      <c r="A128" s="110" t="s">
        <v>255</v>
      </c>
      <c r="B128" s="96">
        <f>B127*B126</f>
        <v>45</v>
      </c>
      <c r="C128" s="46" t="s">
        <v>733</v>
      </c>
      <c r="D128" s="49"/>
      <c r="E128" s="46" t="s">
        <v>256</v>
      </c>
      <c r="F128" s="53" t="str">
        <f>INT(F126+F127)&amp;"m"</f>
        <v>298m</v>
      </c>
      <c r="G128" s="111"/>
      <c r="H128" s="46"/>
    </row>
    <row r="129" spans="1:8" ht="12.75">
      <c r="A129" s="110" t="s">
        <v>257</v>
      </c>
      <c r="B129" s="95">
        <f>(B128+1)*22.4*B121*1000/B13</f>
        <v>490666.666666665</v>
      </c>
      <c r="C129" s="46" t="s">
        <v>258</v>
      </c>
      <c r="D129" s="49"/>
      <c r="E129" s="46" t="s">
        <v>256</v>
      </c>
      <c r="F129" s="49" t="str">
        <f>INT((F126+F127)*3.2808)&amp;" ft."</f>
        <v>979 ft.</v>
      </c>
      <c r="G129" s="111"/>
      <c r="H129" s="46"/>
    </row>
    <row r="130" spans="1:8" ht="12.75">
      <c r="A130" s="110" t="s">
        <v>259</v>
      </c>
      <c r="B130" s="96">
        <f>(B129*1.5/PI())^0.333333</f>
        <v>61.64637218457123</v>
      </c>
      <c r="C130" s="46" t="s">
        <v>260</v>
      </c>
      <c r="D130" s="105">
        <f>B130*3.2808</f>
        <v>202.2494178631413</v>
      </c>
      <c r="E130" s="46" t="s">
        <v>261</v>
      </c>
      <c r="F130" s="46"/>
      <c r="G130" s="111"/>
      <c r="H130" s="46"/>
    </row>
    <row r="131" spans="1:8" ht="13.5" thickBot="1">
      <c r="A131" s="110"/>
      <c r="B131" s="49"/>
      <c r="C131" s="46"/>
      <c r="D131" s="140"/>
      <c r="E131" s="46"/>
      <c r="F131" s="102"/>
      <c r="G131" s="111"/>
      <c r="H131" s="46"/>
    </row>
    <row r="132" spans="1:8" ht="13.5" thickBot="1">
      <c r="A132" s="110" t="s">
        <v>262</v>
      </c>
      <c r="B132" s="198">
        <f>1.42*(D27*1000/D29)^0.33333*(LN(D29/D28))^0.5</f>
        <v>114.6785505126991</v>
      </c>
      <c r="C132" s="46" t="s">
        <v>263</v>
      </c>
      <c r="D132" s="46"/>
      <c r="E132" s="46"/>
      <c r="F132" s="46"/>
      <c r="G132" s="111"/>
      <c r="H132" s="46"/>
    </row>
    <row r="133" spans="1:8" ht="12.75">
      <c r="A133" s="110" t="s">
        <v>264</v>
      </c>
      <c r="B133" s="141">
        <f>(5*(D27*1000/D29)^0.333333)^1.14</f>
        <v>649.4278374841526</v>
      </c>
      <c r="C133" s="46" t="s">
        <v>265</v>
      </c>
      <c r="D133" s="46"/>
      <c r="E133" s="46"/>
      <c r="F133" s="46"/>
      <c r="G133" s="111"/>
      <c r="H133" s="46"/>
    </row>
    <row r="134" spans="1:8" ht="12.75">
      <c r="A134" s="110" t="s">
        <v>266</v>
      </c>
      <c r="B134" s="125">
        <f>D27*1000*D25/1000000*1000</f>
        <v>1739.8479999999945</v>
      </c>
      <c r="C134" s="46" t="s">
        <v>267</v>
      </c>
      <c r="D134" s="46"/>
      <c r="E134" s="46"/>
      <c r="F134" s="46"/>
      <c r="G134" s="111"/>
      <c r="H134" s="46"/>
    </row>
    <row r="135" spans="1:8" ht="12.75">
      <c r="A135" s="110" t="s">
        <v>266</v>
      </c>
      <c r="B135" s="125">
        <f>D32*1000*D25/1000000</f>
        <v>1228.5954289575766</v>
      </c>
      <c r="C135" s="46" t="s">
        <v>268</v>
      </c>
      <c r="D135" s="46"/>
      <c r="E135" s="46"/>
      <c r="F135" s="46"/>
      <c r="G135" s="111"/>
      <c r="H135" s="46"/>
    </row>
    <row r="136" spans="1:8" ht="12.75">
      <c r="A136" s="110" t="s">
        <v>269</v>
      </c>
      <c r="B136" s="150">
        <f>2000/B27/B25*(B132*3.2808/(10/257.7)^(-1/1.468461))^3</f>
        <v>0.08459426939850025</v>
      </c>
      <c r="C136" s="46" t="s">
        <v>270</v>
      </c>
      <c r="D136" s="49"/>
      <c r="E136" s="94" t="s">
        <v>271</v>
      </c>
      <c r="F136" s="104">
        <f>B27*B25*B136/2000/2000</f>
        <v>34.87485042107947</v>
      </c>
      <c r="G136" s="111"/>
      <c r="H136" s="46"/>
    </row>
    <row r="137" spans="1:8" ht="12.75">
      <c r="A137" s="110" t="s">
        <v>272</v>
      </c>
      <c r="B137" s="96">
        <f>B130*2/330</f>
        <v>0.37361437687618926</v>
      </c>
      <c r="C137" s="46" t="s">
        <v>273</v>
      </c>
      <c r="D137" s="49"/>
      <c r="E137" s="46"/>
      <c r="F137" s="46"/>
      <c r="G137" s="111"/>
      <c r="H137" s="46"/>
    </row>
    <row r="138" spans="1:8" ht="12.75">
      <c r="A138" s="110" t="s">
        <v>274</v>
      </c>
      <c r="B138" s="96">
        <f>1.75*B134*1000*330/(2*B130)^4</f>
        <v>4.348237110769753</v>
      </c>
      <c r="C138" s="46" t="s">
        <v>275</v>
      </c>
      <c r="D138" s="49"/>
      <c r="E138" s="46"/>
      <c r="F138" s="46"/>
      <c r="G138" s="111"/>
      <c r="H138" s="46"/>
    </row>
    <row r="139" spans="1:8" ht="12.75">
      <c r="A139" s="110" t="s">
        <v>276</v>
      </c>
      <c r="B139" s="96">
        <f>4.95*10/B138</f>
        <v>11.383923815331496</v>
      </c>
      <c r="C139" s="46" t="s">
        <v>277</v>
      </c>
      <c r="D139" s="49"/>
      <c r="E139" s="46"/>
      <c r="F139" s="46"/>
      <c r="G139" s="111"/>
      <c r="H139" s="46"/>
    </row>
    <row r="140" spans="1:8" ht="12.75">
      <c r="A140" s="110" t="s">
        <v>278</v>
      </c>
      <c r="B140" s="95">
        <f>B138*1000*B137</f>
        <v>1624.5638986501626</v>
      </c>
      <c r="C140" s="46" t="s">
        <v>279</v>
      </c>
      <c r="D140" s="46"/>
      <c r="E140" s="46"/>
      <c r="F140" s="46"/>
      <c r="G140" s="111"/>
      <c r="H140" s="46"/>
    </row>
    <row r="141" spans="1:8" ht="13.5" thickBot="1">
      <c r="A141" s="110" t="s">
        <v>280</v>
      </c>
      <c r="B141" s="92">
        <f>2000/B32/B25*(B132*3.2808/(10/257.7)^(-1/1.468461))^3</f>
        <v>0.11979628684547512</v>
      </c>
      <c r="C141" s="46" t="s">
        <v>281</v>
      </c>
      <c r="D141" s="46"/>
      <c r="E141" s="46"/>
      <c r="F141" s="59"/>
      <c r="G141" s="111"/>
      <c r="H141" s="46"/>
    </row>
    <row r="142" spans="1:8" ht="13.5" thickBot="1">
      <c r="A142" s="110" t="s">
        <v>282</v>
      </c>
      <c r="B142" s="198">
        <f>B32*B25*B141/2000/2000</f>
        <v>34.87485042107948</v>
      </c>
      <c r="C142" s="46" t="s">
        <v>283</v>
      </c>
      <c r="D142" s="46"/>
      <c r="E142" s="102"/>
      <c r="F142" s="102"/>
      <c r="G142" s="111"/>
      <c r="H142" s="46"/>
    </row>
    <row r="143" spans="1:8" ht="12.75">
      <c r="A143" s="110"/>
      <c r="B143" s="57"/>
      <c r="C143" s="46"/>
      <c r="D143" s="46"/>
      <c r="E143" s="102"/>
      <c r="F143" s="58"/>
      <c r="G143" s="111"/>
      <c r="H143" s="46" t="s">
        <v>284</v>
      </c>
    </row>
    <row r="144" spans="1:8" ht="12.75">
      <c r="A144" s="142" t="s">
        <v>285</v>
      </c>
      <c r="B144" s="143" t="s">
        <v>286</v>
      </c>
      <c r="C144" s="143" t="s">
        <v>286</v>
      </c>
      <c r="D144" s="143" t="s">
        <v>287</v>
      </c>
      <c r="E144" s="143" t="s">
        <v>288</v>
      </c>
      <c r="F144" s="144" t="s">
        <v>289</v>
      </c>
      <c r="G144" s="111" t="s">
        <v>290</v>
      </c>
      <c r="H144" s="46" t="s">
        <v>290</v>
      </c>
    </row>
    <row r="145" spans="1:8" ht="13.5" thickBot="1">
      <c r="A145" s="110"/>
      <c r="B145" s="143" t="s">
        <v>291</v>
      </c>
      <c r="C145" s="143" t="s">
        <v>292</v>
      </c>
      <c r="D145" s="144">
        <f>B136</f>
        <v>0.08459426939850025</v>
      </c>
      <c r="E145" s="144">
        <f>B141</f>
        <v>0.11979628684547512</v>
      </c>
      <c r="F145" s="144">
        <f>E145</f>
        <v>0.11979628684547512</v>
      </c>
      <c r="G145" s="151">
        <f>F145</f>
        <v>0.11979628684547512</v>
      </c>
      <c r="H145" s="46" t="s">
        <v>734</v>
      </c>
    </row>
    <row r="146" spans="1:8" ht="13.5" thickBot="1">
      <c r="A146" s="110" t="s">
        <v>293</v>
      </c>
      <c r="B146" s="133">
        <v>69</v>
      </c>
      <c r="C146" s="96">
        <f aca="true" t="shared" si="3" ref="C146:C159">B146/6.894</f>
        <v>10.008703220191471</v>
      </c>
      <c r="D146" s="211">
        <f>B132</f>
        <v>114.6785505126991</v>
      </c>
      <c r="E146" s="212">
        <f aca="true" t="shared" si="4" ref="E146:E159">F146/3.2808</f>
        <v>114.67855051269909</v>
      </c>
      <c r="F146" s="95">
        <f>B132*3.2808</f>
        <v>376.2373885220632</v>
      </c>
      <c r="G146" s="152">
        <f aca="true" t="shared" si="5" ref="G146:G158">257.7*(F146/($B$32*$B$25*$G$145/2000)^0.333333)^-1.468461</f>
        <v>9.999945409286983</v>
      </c>
      <c r="H146" s="46"/>
    </row>
    <row r="147" spans="1:8" ht="12.75">
      <c r="A147" s="110" t="s">
        <v>294</v>
      </c>
      <c r="B147" s="133">
        <v>50</v>
      </c>
      <c r="C147" s="96">
        <f t="shared" si="3"/>
        <v>7.25268349289237</v>
      </c>
      <c r="D147" s="125">
        <f aca="true" t="shared" si="6" ref="D147:D159">(C147/257.7)^(-1/1.468461)*($B$27*$B$25*$B$136/2000)^0.333333/3.2808</f>
        <v>142.71803720449464</v>
      </c>
      <c r="E147" s="96">
        <f t="shared" si="4"/>
        <v>142.71803720449464</v>
      </c>
      <c r="F147" s="95">
        <f aca="true" t="shared" si="7" ref="F147:F159">(C147/257.7)^(-1/1.468461)*($B$32*$B$25*$B$141/2000)^0.333333</f>
        <v>468.22933646050603</v>
      </c>
      <c r="G147" s="152">
        <f t="shared" si="5"/>
        <v>7.25268349289237</v>
      </c>
      <c r="H147" s="46"/>
    </row>
    <row r="148" spans="1:9" ht="12.75">
      <c r="A148" s="110" t="s">
        <v>295</v>
      </c>
      <c r="B148" s="133">
        <v>42</v>
      </c>
      <c r="C148" s="96">
        <f t="shared" si="3"/>
        <v>6.092254134029591</v>
      </c>
      <c r="D148" s="125">
        <f t="shared" si="6"/>
        <v>160.7102360752248</v>
      </c>
      <c r="E148" s="96">
        <f t="shared" si="4"/>
        <v>160.7102360752248</v>
      </c>
      <c r="F148" s="95">
        <f t="shared" si="7"/>
        <v>527.2581425155976</v>
      </c>
      <c r="G148" s="152">
        <f t="shared" si="5"/>
        <v>6.0922541340295915</v>
      </c>
      <c r="H148" s="46"/>
      <c r="I148">
        <f>B32</f>
        <v>62271.22099585419</v>
      </c>
    </row>
    <row r="149" spans="1:9" ht="12.75">
      <c r="A149" s="110" t="s">
        <v>296</v>
      </c>
      <c r="B149" s="133">
        <v>34.5</v>
      </c>
      <c r="C149" s="96">
        <f t="shared" si="3"/>
        <v>5.0043516100957355</v>
      </c>
      <c r="D149" s="125">
        <f t="shared" si="6"/>
        <v>183.74698664500627</v>
      </c>
      <c r="E149" s="96">
        <f t="shared" si="4"/>
        <v>183.74698664500627</v>
      </c>
      <c r="F149" s="95">
        <f t="shared" si="7"/>
        <v>602.8371137849366</v>
      </c>
      <c r="G149" s="152">
        <f t="shared" si="5"/>
        <v>5.0043516100957355</v>
      </c>
      <c r="H149" s="46"/>
      <c r="I149" s="3">
        <f>B25</f>
        <v>18700</v>
      </c>
    </row>
    <row r="150" spans="1:8" ht="12.75">
      <c r="A150" s="110" t="s">
        <v>297</v>
      </c>
      <c r="B150" s="133">
        <v>24</v>
      </c>
      <c r="C150" s="96">
        <f t="shared" si="3"/>
        <v>3.4812880765883376</v>
      </c>
      <c r="D150" s="125">
        <f t="shared" si="6"/>
        <v>235.26039337100818</v>
      </c>
      <c r="E150" s="96">
        <f t="shared" si="4"/>
        <v>235.26039337100818</v>
      </c>
      <c r="F150" s="95">
        <f t="shared" si="7"/>
        <v>771.8422985716037</v>
      </c>
      <c r="G150" s="152">
        <f t="shared" si="5"/>
        <v>3.481288076588339</v>
      </c>
      <c r="H150" s="46"/>
    </row>
    <row r="151" spans="1:8" ht="12.75">
      <c r="A151" s="110" t="s">
        <v>298</v>
      </c>
      <c r="B151" s="133">
        <v>20.7</v>
      </c>
      <c r="C151" s="96">
        <f t="shared" si="3"/>
        <v>3.002610966057441</v>
      </c>
      <c r="D151" s="125">
        <f t="shared" si="6"/>
        <v>260.19318023600124</v>
      </c>
      <c r="E151" s="96">
        <f t="shared" si="4"/>
        <v>260.19318023600124</v>
      </c>
      <c r="F151" s="95">
        <f t="shared" si="7"/>
        <v>853.6417857182729</v>
      </c>
      <c r="G151" s="152">
        <f t="shared" si="5"/>
        <v>3.002610966057442</v>
      </c>
      <c r="H151" s="46"/>
    </row>
    <row r="152" spans="1:8" ht="12.75">
      <c r="A152" s="110" t="s">
        <v>299</v>
      </c>
      <c r="B152" s="133">
        <v>17.3</v>
      </c>
      <c r="C152" s="96">
        <f t="shared" si="3"/>
        <v>2.50942848854076</v>
      </c>
      <c r="D152" s="125">
        <f t="shared" si="6"/>
        <v>294.0093582120015</v>
      </c>
      <c r="E152" s="96">
        <f t="shared" si="4"/>
        <v>294.0093582120015</v>
      </c>
      <c r="F152" s="95">
        <f t="shared" si="7"/>
        <v>964.5859024219344</v>
      </c>
      <c r="G152" s="152">
        <f t="shared" si="5"/>
        <v>2.509428488540759</v>
      </c>
      <c r="H152" s="46"/>
    </row>
    <row r="153" spans="1:8" ht="12.75">
      <c r="A153" s="110" t="s">
        <v>300</v>
      </c>
      <c r="B153" s="133">
        <v>15.2</v>
      </c>
      <c r="C153" s="96">
        <f t="shared" si="3"/>
        <v>2.2048157818392804</v>
      </c>
      <c r="D153" s="125">
        <f t="shared" si="6"/>
        <v>321.0955059003393</v>
      </c>
      <c r="E153" s="96">
        <f t="shared" si="4"/>
        <v>321.0955059003393</v>
      </c>
      <c r="F153" s="95">
        <f t="shared" si="7"/>
        <v>1053.450135757833</v>
      </c>
      <c r="G153" s="152">
        <f t="shared" si="5"/>
        <v>2.20481578183928</v>
      </c>
      <c r="H153" s="46"/>
    </row>
    <row r="154" spans="1:8" ht="12.75">
      <c r="A154" s="110" t="s">
        <v>301</v>
      </c>
      <c r="B154" s="133">
        <v>13.8</v>
      </c>
      <c r="C154" s="96">
        <f t="shared" si="3"/>
        <v>2.001740644038294</v>
      </c>
      <c r="D154" s="125">
        <f t="shared" si="6"/>
        <v>342.9346953255965</v>
      </c>
      <c r="E154" s="96">
        <f t="shared" si="4"/>
        <v>342.9346953255965</v>
      </c>
      <c r="F154" s="95">
        <f t="shared" si="7"/>
        <v>1125.1001484242172</v>
      </c>
      <c r="G154" s="152">
        <f t="shared" si="5"/>
        <v>2.001740644038294</v>
      </c>
      <c r="H154" s="46"/>
    </row>
    <row r="155" spans="1:8" ht="12.75">
      <c r="A155" s="110" t="s">
        <v>302</v>
      </c>
      <c r="B155" s="133">
        <v>6.9</v>
      </c>
      <c r="C155" s="96">
        <f t="shared" si="3"/>
        <v>1.000870322019147</v>
      </c>
      <c r="D155" s="125">
        <f t="shared" si="6"/>
        <v>549.8045820404894</v>
      </c>
      <c r="E155" s="96">
        <f t="shared" si="4"/>
        <v>549.8045820404894</v>
      </c>
      <c r="F155" s="95">
        <f t="shared" si="7"/>
        <v>1803.7988727584377</v>
      </c>
      <c r="G155" s="152">
        <f t="shared" si="5"/>
        <v>1.000870322019146</v>
      </c>
      <c r="H155" s="46"/>
    </row>
    <row r="156" spans="1:8" ht="12.75">
      <c r="A156" s="110" t="s">
        <v>303</v>
      </c>
      <c r="B156" s="133">
        <v>3.45</v>
      </c>
      <c r="C156" s="96">
        <f t="shared" si="3"/>
        <v>0.5004351610095735</v>
      </c>
      <c r="D156" s="125">
        <f t="shared" si="6"/>
        <v>881.4654292873896</v>
      </c>
      <c r="E156" s="96">
        <f t="shared" si="4"/>
        <v>881.4654292873896</v>
      </c>
      <c r="F156" s="95">
        <f t="shared" si="7"/>
        <v>2891.911780406068</v>
      </c>
      <c r="G156" s="152">
        <f t="shared" si="5"/>
        <v>0.5004351610095734</v>
      </c>
      <c r="H156" s="46"/>
    </row>
    <row r="157" spans="1:8" ht="12.75">
      <c r="A157" s="110" t="s">
        <v>304</v>
      </c>
      <c r="B157" s="133">
        <v>2.8</v>
      </c>
      <c r="C157" s="96">
        <f t="shared" si="3"/>
        <v>0.4061502756019727</v>
      </c>
      <c r="D157" s="125">
        <f t="shared" si="6"/>
        <v>1016.1179278778011</v>
      </c>
      <c r="E157" s="96">
        <f t="shared" si="4"/>
        <v>1016.1179278778011</v>
      </c>
      <c r="F157" s="95">
        <f t="shared" si="7"/>
        <v>3333.67969778149</v>
      </c>
      <c r="G157" s="152">
        <f t="shared" si="5"/>
        <v>0.40615027560197264</v>
      </c>
      <c r="H157" s="46"/>
    </row>
    <row r="158" spans="1:8" ht="12.75">
      <c r="A158" s="110" t="s">
        <v>305</v>
      </c>
      <c r="B158" s="133">
        <v>1</v>
      </c>
      <c r="C158" s="96">
        <f t="shared" si="3"/>
        <v>0.1450536698578474</v>
      </c>
      <c r="D158" s="125">
        <f t="shared" si="6"/>
        <v>2048.5758659851454</v>
      </c>
      <c r="E158" s="103">
        <f t="shared" si="4"/>
        <v>2048.5758659851454</v>
      </c>
      <c r="F158" s="95">
        <f t="shared" si="7"/>
        <v>6720.967701124066</v>
      </c>
      <c r="G158" s="152">
        <f t="shared" si="5"/>
        <v>0.14505366985784734</v>
      </c>
      <c r="H158" s="46"/>
    </row>
    <row r="159" spans="1:8" ht="13.5" thickBot="1">
      <c r="A159" s="145" t="s">
        <v>306</v>
      </c>
      <c r="B159" s="146">
        <f>B140</f>
        <v>1624.5638986501626</v>
      </c>
      <c r="C159" s="126">
        <f t="shared" si="3"/>
        <v>235.64895541777815</v>
      </c>
      <c r="D159" s="147">
        <f t="shared" si="6"/>
        <v>13.334854021872054</v>
      </c>
      <c r="E159" s="126">
        <f t="shared" si="4"/>
        <v>13.334854021872054</v>
      </c>
      <c r="F159" s="148">
        <f t="shared" si="7"/>
        <v>43.74898907495784</v>
      </c>
      <c r="G159" s="119"/>
      <c r="H159" s="46"/>
    </row>
    <row r="160" spans="2:6" ht="12.75">
      <c r="B160" s="15"/>
      <c r="C160" s="14"/>
      <c r="D160" s="14"/>
      <c r="E160" s="14"/>
      <c r="F160" s="15"/>
    </row>
    <row r="161" spans="1:9" ht="12.75">
      <c r="A161" t="s">
        <v>735</v>
      </c>
      <c r="B161" s="86" t="s">
        <v>307</v>
      </c>
      <c r="C161" s="86"/>
      <c r="D161" t="s">
        <v>148</v>
      </c>
      <c r="E161" t="s">
        <v>308</v>
      </c>
      <c r="F161" t="s">
        <v>309</v>
      </c>
      <c r="G161" s="6">
        <f>D145</f>
        <v>0.08459426939850025</v>
      </c>
      <c r="H161" t="s">
        <v>310</v>
      </c>
      <c r="I161" s="6">
        <f>E145</f>
        <v>0.11979628684547512</v>
      </c>
    </row>
    <row r="162" spans="2:11" ht="12.75">
      <c r="B162" s="69">
        <v>125</v>
      </c>
      <c r="C162" s="69">
        <v>60</v>
      </c>
      <c r="D162" s="1">
        <v>410.1</v>
      </c>
      <c r="E162" s="31">
        <v>8.703220191470844</v>
      </c>
      <c r="F162" s="3">
        <f aca="true" t="shared" si="8" ref="F162:F174">D146*3.2808</f>
        <v>376.2373885220632</v>
      </c>
      <c r="G162" s="2">
        <f aca="true" t="shared" si="9" ref="G162:G174">C146</f>
        <v>10.008703220191471</v>
      </c>
      <c r="H162" s="3">
        <f aca="true" t="shared" si="10" ref="H162:H174">E146*3.2808</f>
        <v>376.2373885220632</v>
      </c>
      <c r="I162" s="2">
        <f aca="true" t="shared" si="11" ref="I162:I174">C146</f>
        <v>10.008703220191471</v>
      </c>
      <c r="J162">
        <f aca="true" t="shared" si="12" ref="J162:J182">D162/3.2808</f>
        <v>125</v>
      </c>
      <c r="K162" s="34">
        <f aca="true" t="shared" si="13" ref="K162:K182">E162</f>
        <v>8.703220191470844</v>
      </c>
    </row>
    <row r="163" spans="2:11" ht="12.75">
      <c r="B163" s="69">
        <v>120</v>
      </c>
      <c r="C163" s="69">
        <v>50</v>
      </c>
      <c r="D163" s="1">
        <v>393.696</v>
      </c>
      <c r="E163" s="31">
        <v>7.25268349289237</v>
      </c>
      <c r="F163" s="3">
        <f t="shared" si="8"/>
        <v>468.22933646050603</v>
      </c>
      <c r="G163" s="2">
        <f t="shared" si="9"/>
        <v>7.25268349289237</v>
      </c>
      <c r="H163" s="3">
        <f t="shared" si="10"/>
        <v>468.22933646050603</v>
      </c>
      <c r="I163" s="2">
        <f t="shared" si="11"/>
        <v>7.25268349289237</v>
      </c>
      <c r="J163">
        <f t="shared" si="12"/>
        <v>120</v>
      </c>
      <c r="K163" s="34">
        <f t="shared" si="13"/>
        <v>7.25268349289237</v>
      </c>
    </row>
    <row r="164" spans="2:11" ht="12.75">
      <c r="B164" s="69">
        <v>160</v>
      </c>
      <c r="C164" s="69">
        <v>35</v>
      </c>
      <c r="D164" s="1">
        <v>524.928</v>
      </c>
      <c r="E164" s="31">
        <v>5.076878445024659</v>
      </c>
      <c r="F164" s="3">
        <f t="shared" si="8"/>
        <v>527.2581425155976</v>
      </c>
      <c r="G164" s="2">
        <f t="shared" si="9"/>
        <v>6.092254134029591</v>
      </c>
      <c r="H164" s="3">
        <f t="shared" si="10"/>
        <v>527.2581425155976</v>
      </c>
      <c r="I164" s="2">
        <f t="shared" si="11"/>
        <v>6.092254134029591</v>
      </c>
      <c r="J164">
        <f t="shared" si="12"/>
        <v>160</v>
      </c>
      <c r="K164" s="34">
        <f t="shared" si="13"/>
        <v>5.076878445024659</v>
      </c>
    </row>
    <row r="165" spans="2:11" ht="12.75">
      <c r="B165" s="69">
        <v>130</v>
      </c>
      <c r="C165" s="69">
        <v>50</v>
      </c>
      <c r="D165" s="1">
        <v>426.504</v>
      </c>
      <c r="E165" s="31">
        <v>7.25268349289237</v>
      </c>
      <c r="F165" s="3">
        <f t="shared" si="8"/>
        <v>602.8371137849366</v>
      </c>
      <c r="G165" s="2">
        <f t="shared" si="9"/>
        <v>5.0043516100957355</v>
      </c>
      <c r="H165" s="3">
        <f t="shared" si="10"/>
        <v>602.8371137849366</v>
      </c>
      <c r="I165" s="2">
        <f t="shared" si="11"/>
        <v>5.0043516100957355</v>
      </c>
      <c r="J165">
        <f t="shared" si="12"/>
        <v>130</v>
      </c>
      <c r="K165" s="34">
        <f t="shared" si="13"/>
        <v>7.25268349289237</v>
      </c>
    </row>
    <row r="166" spans="2:11" ht="12.75">
      <c r="B166" s="69">
        <v>135</v>
      </c>
      <c r="C166" s="69">
        <v>60</v>
      </c>
      <c r="D166" s="1">
        <v>442.908</v>
      </c>
      <c r="E166" s="31">
        <v>8.703220191470844</v>
      </c>
      <c r="F166" s="3">
        <f t="shared" si="8"/>
        <v>771.8422985716037</v>
      </c>
      <c r="G166" s="2">
        <f t="shared" si="9"/>
        <v>3.4812880765883376</v>
      </c>
      <c r="H166" s="3">
        <f t="shared" si="10"/>
        <v>771.8422985716037</v>
      </c>
      <c r="I166" s="2">
        <f t="shared" si="11"/>
        <v>3.4812880765883376</v>
      </c>
      <c r="J166">
        <f t="shared" si="12"/>
        <v>135</v>
      </c>
      <c r="K166" s="34">
        <f t="shared" si="13"/>
        <v>8.703220191470844</v>
      </c>
    </row>
    <row r="167" spans="1:11" ht="12.75">
      <c r="A167" t="s">
        <v>311</v>
      </c>
      <c r="B167" s="69">
        <v>220</v>
      </c>
      <c r="C167" s="69">
        <v>27.5</v>
      </c>
      <c r="D167" s="1">
        <v>721.7760000000001</v>
      </c>
      <c r="E167" s="31">
        <v>3.9889759210908036</v>
      </c>
      <c r="F167" s="3">
        <f t="shared" si="8"/>
        <v>853.6417857182729</v>
      </c>
      <c r="G167" s="2">
        <f t="shared" si="9"/>
        <v>3.002610966057441</v>
      </c>
      <c r="H167" s="3">
        <f t="shared" si="10"/>
        <v>853.6417857182729</v>
      </c>
      <c r="I167" s="2">
        <f t="shared" si="11"/>
        <v>3.002610966057441</v>
      </c>
      <c r="J167">
        <f t="shared" si="12"/>
        <v>220</v>
      </c>
      <c r="K167" s="34">
        <f t="shared" si="13"/>
        <v>3.9889759210908036</v>
      </c>
    </row>
    <row r="168" spans="1:11" ht="12.75">
      <c r="A168" t="s">
        <v>312</v>
      </c>
      <c r="B168" s="69">
        <v>230</v>
      </c>
      <c r="C168" s="69">
        <v>18.5</v>
      </c>
      <c r="D168" s="1">
        <v>754.5840000000001</v>
      </c>
      <c r="E168" s="31">
        <v>2.683492892370177</v>
      </c>
      <c r="F168" s="3">
        <f t="shared" si="8"/>
        <v>964.5859024219345</v>
      </c>
      <c r="G168" s="2">
        <f t="shared" si="9"/>
        <v>2.50942848854076</v>
      </c>
      <c r="H168" s="3">
        <f t="shared" si="10"/>
        <v>964.5859024219345</v>
      </c>
      <c r="I168" s="2">
        <f t="shared" si="11"/>
        <v>2.50942848854076</v>
      </c>
      <c r="J168">
        <f t="shared" si="12"/>
        <v>230</v>
      </c>
      <c r="K168" s="34">
        <f t="shared" si="13"/>
        <v>2.683492892370177</v>
      </c>
    </row>
    <row r="169" spans="1:11" ht="12.75">
      <c r="A169" t="s">
        <v>313</v>
      </c>
      <c r="B169" s="69">
        <v>230</v>
      </c>
      <c r="C169" s="69">
        <v>24</v>
      </c>
      <c r="D169" s="1">
        <v>754.5840000000001</v>
      </c>
      <c r="E169" s="31">
        <v>3.4812880765883376</v>
      </c>
      <c r="F169" s="3">
        <f t="shared" si="8"/>
        <v>1053.450135757833</v>
      </c>
      <c r="G169" s="2">
        <f t="shared" si="9"/>
        <v>2.2048157818392804</v>
      </c>
      <c r="H169" s="3">
        <f t="shared" si="10"/>
        <v>1053.450135757833</v>
      </c>
      <c r="I169" s="2">
        <f t="shared" si="11"/>
        <v>2.2048157818392804</v>
      </c>
      <c r="J169">
        <f t="shared" si="12"/>
        <v>230</v>
      </c>
      <c r="K169" s="34">
        <f t="shared" si="13"/>
        <v>3.4812880765883376</v>
      </c>
    </row>
    <row r="170" spans="1:11" ht="12.75">
      <c r="A170" t="s">
        <v>314</v>
      </c>
      <c r="B170" s="69">
        <v>290</v>
      </c>
      <c r="C170" s="69">
        <v>18.5</v>
      </c>
      <c r="D170" s="1">
        <v>951.432</v>
      </c>
      <c r="E170" s="31">
        <v>2.683492892370177</v>
      </c>
      <c r="F170" s="3">
        <f t="shared" si="8"/>
        <v>1125.1001484242172</v>
      </c>
      <c r="G170" s="2">
        <f t="shared" si="9"/>
        <v>2.001740644038294</v>
      </c>
      <c r="H170" s="3">
        <f t="shared" si="10"/>
        <v>1125.1001484242172</v>
      </c>
      <c r="I170" s="2">
        <f t="shared" si="11"/>
        <v>2.001740644038294</v>
      </c>
      <c r="J170">
        <f t="shared" si="12"/>
        <v>290</v>
      </c>
      <c r="K170" s="34">
        <f t="shared" si="13"/>
        <v>2.683492892370177</v>
      </c>
    </row>
    <row r="171" spans="1:11" ht="12.75">
      <c r="A171" t="s">
        <v>315</v>
      </c>
      <c r="B171" s="69">
        <v>290</v>
      </c>
      <c r="C171" s="69">
        <v>18.5</v>
      </c>
      <c r="D171" s="1">
        <v>951.432</v>
      </c>
      <c r="E171" s="31">
        <v>2.683492892370177</v>
      </c>
      <c r="F171" s="3">
        <f t="shared" si="8"/>
        <v>1803.798872758438</v>
      </c>
      <c r="G171" s="2">
        <f t="shared" si="9"/>
        <v>1.000870322019147</v>
      </c>
      <c r="H171" s="3">
        <f t="shared" si="10"/>
        <v>1803.798872758438</v>
      </c>
      <c r="I171" s="2">
        <f t="shared" si="11"/>
        <v>1.000870322019147</v>
      </c>
      <c r="J171">
        <f t="shared" si="12"/>
        <v>290</v>
      </c>
      <c r="K171" s="34">
        <f t="shared" si="13"/>
        <v>2.683492892370177</v>
      </c>
    </row>
    <row r="172" spans="2:11" ht="12.75">
      <c r="B172" s="69">
        <v>350</v>
      </c>
      <c r="C172" s="69">
        <v>14</v>
      </c>
      <c r="D172" s="1">
        <v>1148.28</v>
      </c>
      <c r="E172" s="31">
        <v>2.030751378009864</v>
      </c>
      <c r="F172" s="3">
        <f t="shared" si="8"/>
        <v>2891.911780406068</v>
      </c>
      <c r="G172" s="2">
        <f t="shared" si="9"/>
        <v>0.5004351610095735</v>
      </c>
      <c r="H172" s="3">
        <f t="shared" si="10"/>
        <v>2891.911780406068</v>
      </c>
      <c r="I172" s="2">
        <f t="shared" si="11"/>
        <v>0.5004351610095735</v>
      </c>
      <c r="J172">
        <f t="shared" si="12"/>
        <v>350</v>
      </c>
      <c r="K172" s="34">
        <f t="shared" si="13"/>
        <v>2.030751378009864</v>
      </c>
    </row>
    <row r="173" spans="2:11" ht="12.75">
      <c r="B173" s="69">
        <v>335</v>
      </c>
      <c r="C173" s="69">
        <v>14</v>
      </c>
      <c r="D173" s="1">
        <v>1099.068</v>
      </c>
      <c r="E173" s="31">
        <v>2.030751378009864</v>
      </c>
      <c r="F173" s="3">
        <f t="shared" si="8"/>
        <v>3333.67969778149</v>
      </c>
      <c r="G173" s="2">
        <f t="shared" si="9"/>
        <v>0.4061502756019727</v>
      </c>
      <c r="H173" s="3">
        <f t="shared" si="10"/>
        <v>3333.67969778149</v>
      </c>
      <c r="I173" s="2">
        <f t="shared" si="11"/>
        <v>0.4061502756019727</v>
      </c>
      <c r="J173">
        <f t="shared" si="12"/>
        <v>335</v>
      </c>
      <c r="K173" s="34">
        <f t="shared" si="13"/>
        <v>2.030751378009864</v>
      </c>
    </row>
    <row r="174" spans="2:11" ht="12.75">
      <c r="B174" s="69">
        <v>400</v>
      </c>
      <c r="C174" s="69">
        <v>12</v>
      </c>
      <c r="D174" s="1">
        <v>1312.32</v>
      </c>
      <c r="E174" s="31">
        <v>1.7406440382941688</v>
      </c>
      <c r="F174" s="3">
        <f t="shared" si="8"/>
        <v>6720.967701124066</v>
      </c>
      <c r="G174" s="2">
        <f t="shared" si="9"/>
        <v>0.1450536698578474</v>
      </c>
      <c r="H174" s="3">
        <f t="shared" si="10"/>
        <v>6720.967701124066</v>
      </c>
      <c r="I174" s="2">
        <f t="shared" si="11"/>
        <v>0.1450536698578474</v>
      </c>
      <c r="J174">
        <f t="shared" si="12"/>
        <v>399.99999999999994</v>
      </c>
      <c r="K174" s="34">
        <f t="shared" si="13"/>
        <v>1.7406440382941688</v>
      </c>
    </row>
    <row r="175" spans="2:11" ht="12.75">
      <c r="B175" s="69">
        <v>535</v>
      </c>
      <c r="C175" s="69">
        <v>11</v>
      </c>
      <c r="D175" s="1">
        <v>1755.228</v>
      </c>
      <c r="E175" s="31">
        <v>1.5955903684363215</v>
      </c>
      <c r="J175">
        <f t="shared" si="12"/>
        <v>535</v>
      </c>
      <c r="K175" s="34">
        <f t="shared" si="13"/>
        <v>1.5955903684363215</v>
      </c>
    </row>
    <row r="176" spans="2:11" ht="12.75">
      <c r="B176" s="69">
        <v>700</v>
      </c>
      <c r="C176" s="69">
        <v>3.5</v>
      </c>
      <c r="D176" s="1">
        <v>2296.56</v>
      </c>
      <c r="E176" s="31">
        <v>0.507687844502466</v>
      </c>
      <c r="H176" t="s">
        <v>316</v>
      </c>
      <c r="J176">
        <f t="shared" si="12"/>
        <v>700</v>
      </c>
      <c r="K176" s="34">
        <f t="shared" si="13"/>
        <v>0.507687844502466</v>
      </c>
    </row>
    <row r="177" spans="2:11" ht="12.75">
      <c r="B177" s="69">
        <v>945</v>
      </c>
      <c r="C177" s="69">
        <v>1.75</v>
      </c>
      <c r="D177" s="1">
        <v>3100.356</v>
      </c>
      <c r="E177" s="31">
        <v>0.253843922251233</v>
      </c>
      <c r="H177" s="3">
        <f>H162</f>
        <v>376.2373885220632</v>
      </c>
      <c r="I177" s="2">
        <f>I162</f>
        <v>10.008703220191471</v>
      </c>
      <c r="J177">
        <f t="shared" si="12"/>
        <v>945</v>
      </c>
      <c r="K177" s="34">
        <f t="shared" si="13"/>
        <v>0.253843922251233</v>
      </c>
    </row>
    <row r="178" spans="2:11" ht="12.75">
      <c r="B178" s="69">
        <v>825</v>
      </c>
      <c r="C178" s="69">
        <v>2.75</v>
      </c>
      <c r="D178" s="1">
        <v>2706.66</v>
      </c>
      <c r="E178" s="31">
        <v>0.3988975921090804</v>
      </c>
      <c r="H178" s="3">
        <f>H177</f>
        <v>376.2373885220632</v>
      </c>
      <c r="I178" s="2">
        <v>0.1</v>
      </c>
      <c r="J178">
        <f t="shared" si="12"/>
        <v>824.9999999999999</v>
      </c>
      <c r="K178" s="34">
        <f t="shared" si="13"/>
        <v>0.3988975921090804</v>
      </c>
    </row>
    <row r="179" spans="2:11" ht="12.75">
      <c r="B179" s="69">
        <v>885</v>
      </c>
      <c r="C179" s="69">
        <v>4.5</v>
      </c>
      <c r="D179" s="1">
        <v>2903.5080000000003</v>
      </c>
      <c r="E179" s="31">
        <v>0.6527415143603134</v>
      </c>
      <c r="J179">
        <f t="shared" si="12"/>
        <v>885</v>
      </c>
      <c r="K179" s="34">
        <f t="shared" si="13"/>
        <v>0.6527415143603134</v>
      </c>
    </row>
    <row r="180" spans="2:11" ht="12.75">
      <c r="B180" s="69">
        <v>1190</v>
      </c>
      <c r="C180" s="69">
        <v>2.5</v>
      </c>
      <c r="D180" s="1">
        <v>3904.152</v>
      </c>
      <c r="E180" s="31">
        <v>0.3626341746446185</v>
      </c>
      <c r="H180" s="3">
        <f>H177/3.2808</f>
        <v>114.67855051269909</v>
      </c>
      <c r="I180" s="34">
        <f>I177</f>
        <v>10.008703220191471</v>
      </c>
      <c r="J180">
        <f t="shared" si="12"/>
        <v>1190</v>
      </c>
      <c r="K180" s="34">
        <f t="shared" si="13"/>
        <v>0.3626341746446185</v>
      </c>
    </row>
    <row r="181" spans="2:11" ht="12.75">
      <c r="B181" s="69">
        <v>1345</v>
      </c>
      <c r="C181" s="69">
        <v>1.75</v>
      </c>
      <c r="D181" s="1">
        <v>4412.676</v>
      </c>
      <c r="E181" s="31">
        <v>0.253843922251233</v>
      </c>
      <c r="H181" s="3">
        <f>H180</f>
        <v>114.67855051269909</v>
      </c>
      <c r="I181" s="34">
        <f>I178</f>
        <v>0.1</v>
      </c>
      <c r="J181">
        <f t="shared" si="12"/>
        <v>1345</v>
      </c>
      <c r="K181" s="34">
        <f t="shared" si="13"/>
        <v>0.253843922251233</v>
      </c>
    </row>
    <row r="182" spans="2:11" ht="12.75">
      <c r="B182" s="69">
        <v>1340</v>
      </c>
      <c r="C182" s="69">
        <v>1.75</v>
      </c>
      <c r="D182" s="1">
        <v>4396.272</v>
      </c>
      <c r="E182" s="31">
        <v>0.253843922251233</v>
      </c>
      <c r="J182">
        <f t="shared" si="12"/>
        <v>1340</v>
      </c>
      <c r="K182" s="34">
        <f t="shared" si="13"/>
        <v>0.253843922251233</v>
      </c>
    </row>
    <row r="184" ht="12.75">
      <c r="F184" t="s">
        <v>317</v>
      </c>
    </row>
    <row r="185" spans="1:25" ht="12.75">
      <c r="A185" s="86" t="s">
        <v>318</v>
      </c>
      <c r="B185" s="73" t="s">
        <v>319</v>
      </c>
      <c r="C185" s="78" t="s">
        <v>320</v>
      </c>
      <c r="D185" s="73" t="s">
        <v>321</v>
      </c>
      <c r="E185" s="73" t="s">
        <v>322</v>
      </c>
      <c r="F185" s="73" t="s">
        <v>323</v>
      </c>
      <c r="G185" s="82" t="s">
        <v>324</v>
      </c>
      <c r="H185" s="82" t="s">
        <v>325</v>
      </c>
      <c r="I185" s="82" t="s">
        <v>326</v>
      </c>
      <c r="J185" s="78" t="s">
        <v>1</v>
      </c>
      <c r="K185" s="82" t="s">
        <v>327</v>
      </c>
      <c r="L185" s="82" t="s">
        <v>328</v>
      </c>
      <c r="M185" s="82" t="s">
        <v>329</v>
      </c>
      <c r="N185" s="82" t="s">
        <v>330</v>
      </c>
      <c r="O185" s="82" t="s">
        <v>331</v>
      </c>
      <c r="P185" s="82" t="s">
        <v>332</v>
      </c>
      <c r="Q185" s="82" t="s">
        <v>826</v>
      </c>
      <c r="R185" s="82" t="s">
        <v>333</v>
      </c>
      <c r="S185" s="82" t="s">
        <v>334</v>
      </c>
      <c r="T185" s="78" t="s">
        <v>335</v>
      </c>
      <c r="U185" s="82" t="s">
        <v>336</v>
      </c>
      <c r="V185" s="82" t="s">
        <v>337</v>
      </c>
      <c r="W185" s="73" t="s">
        <v>338</v>
      </c>
      <c r="X185" s="82" t="s">
        <v>743</v>
      </c>
      <c r="Y185" s="82" t="s">
        <v>743</v>
      </c>
    </row>
    <row r="186" spans="1:25" ht="12.75">
      <c r="A186" t="s">
        <v>2</v>
      </c>
      <c r="B186" s="78" t="s">
        <v>339</v>
      </c>
      <c r="C186" s="78" t="s">
        <v>340</v>
      </c>
      <c r="D186" s="78" t="s">
        <v>341</v>
      </c>
      <c r="E186" s="78" t="s">
        <v>341</v>
      </c>
      <c r="F186" s="73" t="s">
        <v>342</v>
      </c>
      <c r="G186" s="82" t="s">
        <v>343</v>
      </c>
      <c r="H186" s="82" t="s">
        <v>344</v>
      </c>
      <c r="I186" s="82" t="s">
        <v>345</v>
      </c>
      <c r="J186" s="78" t="s">
        <v>3</v>
      </c>
      <c r="K186" s="82" t="s">
        <v>346</v>
      </c>
      <c r="L186" s="82" t="s">
        <v>347</v>
      </c>
      <c r="M186" s="82" t="s">
        <v>348</v>
      </c>
      <c r="N186" s="82" t="s">
        <v>346</v>
      </c>
      <c r="O186" s="82" t="s">
        <v>346</v>
      </c>
      <c r="P186" s="82" t="s">
        <v>349</v>
      </c>
      <c r="Q186" s="82" t="s">
        <v>827</v>
      </c>
      <c r="R186" s="82" t="s">
        <v>350</v>
      </c>
      <c r="S186" s="82" t="s">
        <v>351</v>
      </c>
      <c r="T186" s="78" t="s">
        <v>352</v>
      </c>
      <c r="U186" s="82" t="s">
        <v>351</v>
      </c>
      <c r="V186" s="82" t="s">
        <v>353</v>
      </c>
      <c r="W186" s="78" t="s">
        <v>341</v>
      </c>
      <c r="X186" s="82" t="s">
        <v>609</v>
      </c>
      <c r="Y186" s="82" t="s">
        <v>611</v>
      </c>
    </row>
    <row r="187" spans="2:23" ht="12.75">
      <c r="B187" s="17"/>
      <c r="D187" s="17"/>
      <c r="E187" s="17"/>
      <c r="I187" t="s">
        <v>354</v>
      </c>
      <c r="Q187" s="12" t="s">
        <v>355</v>
      </c>
      <c r="R187" s="12"/>
      <c r="T187" s="13"/>
      <c r="W187" s="17"/>
    </row>
    <row r="188" spans="1:25" ht="12.75">
      <c r="A188" t="s">
        <v>4</v>
      </c>
      <c r="B188" s="73" t="s">
        <v>319</v>
      </c>
      <c r="C188" s="73" t="s">
        <v>356</v>
      </c>
      <c r="D188" s="73" t="s">
        <v>357</v>
      </c>
      <c r="E188" s="73" t="s">
        <v>358</v>
      </c>
      <c r="F188" s="73" t="s">
        <v>359</v>
      </c>
      <c r="G188" s="73" t="s">
        <v>360</v>
      </c>
      <c r="H188" s="73" t="s">
        <v>319</v>
      </c>
      <c r="I188" s="73" t="s">
        <v>361</v>
      </c>
      <c r="J188" s="73" t="s">
        <v>5</v>
      </c>
      <c r="K188" s="73" t="s">
        <v>362</v>
      </c>
      <c r="L188" s="73" t="s">
        <v>363</v>
      </c>
      <c r="M188" s="73" t="s">
        <v>362</v>
      </c>
      <c r="N188" s="73" t="s">
        <v>364</v>
      </c>
      <c r="O188" s="73" t="s">
        <v>365</v>
      </c>
      <c r="P188" s="73" t="s">
        <v>366</v>
      </c>
      <c r="Q188" s="73" t="s">
        <v>319</v>
      </c>
      <c r="R188" s="73" t="s">
        <v>367</v>
      </c>
      <c r="S188" s="73" t="s">
        <v>319</v>
      </c>
      <c r="T188" s="73" t="s">
        <v>319</v>
      </c>
      <c r="U188" s="73" t="s">
        <v>319</v>
      </c>
      <c r="V188" s="73" t="s">
        <v>319</v>
      </c>
      <c r="W188" s="73" t="s">
        <v>358</v>
      </c>
      <c r="X188" s="73" t="s">
        <v>610</v>
      </c>
      <c r="Y188" s="73" t="s">
        <v>403</v>
      </c>
    </row>
    <row r="189" spans="1:26" ht="12.75">
      <c r="A189" t="s">
        <v>7</v>
      </c>
      <c r="B189" s="74">
        <v>65450</v>
      </c>
      <c r="C189" s="74">
        <v>2513</v>
      </c>
      <c r="D189" s="74">
        <v>56115</v>
      </c>
      <c r="E189" s="74">
        <v>56500</v>
      </c>
      <c r="F189" s="74">
        <v>4800</v>
      </c>
      <c r="G189" s="74">
        <v>1407</v>
      </c>
      <c r="H189" s="74">
        <f>6000/489599*65450</f>
        <v>802.0849715787817</v>
      </c>
      <c r="I189" s="74">
        <v>6000</v>
      </c>
      <c r="J189" s="74">
        <v>8500</v>
      </c>
      <c r="K189" s="74">
        <v>6087</v>
      </c>
      <c r="L189" s="74">
        <v>8500</v>
      </c>
      <c r="M189" s="74">
        <v>52485</v>
      </c>
      <c r="N189" s="74">
        <v>1407</v>
      </c>
      <c r="O189" s="74">
        <v>1407</v>
      </c>
      <c r="P189" s="74">
        <v>6087</v>
      </c>
      <c r="Q189" s="74">
        <v>8000</v>
      </c>
      <c r="R189" s="74">
        <v>47713</v>
      </c>
      <c r="S189" s="74">
        <v>75.67</v>
      </c>
      <c r="T189" s="73">
        <v>882.83</v>
      </c>
      <c r="U189" s="71">
        <f>U190/0.9</f>
        <v>221.63071060845596</v>
      </c>
      <c r="V189" s="71">
        <v>357.85</v>
      </c>
      <c r="W189" s="74">
        <v>7135</v>
      </c>
      <c r="X189" s="73">
        <v>217406</v>
      </c>
      <c r="Y189" s="74">
        <v>5216.67</v>
      </c>
      <c r="Z189" t="str">
        <f aca="true" t="shared" si="14" ref="Z189:Z210">A189</f>
        <v>Vessel Volume, cf =</v>
      </c>
    </row>
    <row r="190" spans="1:26" ht="12.75">
      <c r="A190" t="s">
        <v>10</v>
      </c>
      <c r="B190" s="74">
        <v>39270</v>
      </c>
      <c r="C190" s="74">
        <v>1256.64</v>
      </c>
      <c r="D190" s="74">
        <v>50504</v>
      </c>
      <c r="E190" s="74">
        <v>28250</v>
      </c>
      <c r="F190" s="74">
        <v>3265</v>
      </c>
      <c r="G190" s="74">
        <v>703.72</v>
      </c>
      <c r="H190" s="74">
        <f>0.9*H189</f>
        <v>721.8764744209036</v>
      </c>
      <c r="I190" s="74">
        <v>1459</v>
      </c>
      <c r="J190" s="74">
        <v>6378.4130208333345</v>
      </c>
      <c r="K190" s="74">
        <v>4600</v>
      </c>
      <c r="L190" s="74">
        <v>2670</v>
      </c>
      <c r="M190" s="74">
        <v>45000</v>
      </c>
      <c r="N190" s="74">
        <f>1407*0.85</f>
        <v>1195.95</v>
      </c>
      <c r="O190" s="74">
        <f>1407*0.85</f>
        <v>1195.95</v>
      </c>
      <c r="P190" s="74">
        <v>4000</v>
      </c>
      <c r="Q190" s="74">
        <v>1418</v>
      </c>
      <c r="R190" s="74">
        <v>40556</v>
      </c>
      <c r="S190" s="74">
        <v>37.92</v>
      </c>
      <c r="T190" s="73">
        <v>706.27</v>
      </c>
      <c r="U190" s="71">
        <v>199.46763954761036</v>
      </c>
      <c r="V190" s="71">
        <f>0.881*V189</f>
        <v>315.26585</v>
      </c>
      <c r="W190" s="74">
        <v>3567.5</v>
      </c>
      <c r="X190" s="73">
        <v>173925</v>
      </c>
      <c r="Y190" s="74">
        <f>0.8*Y189</f>
        <v>4173.336</v>
      </c>
      <c r="Z190" t="str">
        <f t="shared" si="14"/>
        <v>Liquid Storage Volume, cf =</v>
      </c>
    </row>
    <row r="191" spans="1:26" ht="12.75">
      <c r="A191" t="s">
        <v>13</v>
      </c>
      <c r="B191" s="73">
        <v>7854</v>
      </c>
      <c r="C191" s="74">
        <v>1162</v>
      </c>
      <c r="D191" s="73">
        <v>7088</v>
      </c>
      <c r="E191" s="73">
        <v>7088</v>
      </c>
      <c r="F191" s="73">
        <v>2200</v>
      </c>
      <c r="G191" s="74">
        <v>804</v>
      </c>
      <c r="H191" s="73">
        <v>7854</v>
      </c>
      <c r="I191" s="73">
        <v>750</v>
      </c>
      <c r="J191" s="73">
        <v>2325</v>
      </c>
      <c r="K191" s="74">
        <v>2088.65470399695</v>
      </c>
      <c r="L191" s="74">
        <v>2325</v>
      </c>
      <c r="M191" s="73">
        <v>7238</v>
      </c>
      <c r="N191" s="74">
        <f>2*PI()*64/4+PI()*8*28</f>
        <v>804.247719318987</v>
      </c>
      <c r="O191" s="74">
        <f>2*PI()*64/4+PI()*8*28</f>
        <v>804.247719318987</v>
      </c>
      <c r="P191" s="74">
        <v>2088.65470399695</v>
      </c>
      <c r="Q191" s="74">
        <v>3850</v>
      </c>
      <c r="R191" s="74">
        <v>286278</v>
      </c>
      <c r="S191" s="74">
        <v>104.74</v>
      </c>
      <c r="T191" s="73">
        <v>730.42</v>
      </c>
      <c r="U191" s="73">
        <v>226</v>
      </c>
      <c r="V191" s="73">
        <v>334</v>
      </c>
      <c r="W191" s="73">
        <v>2693</v>
      </c>
      <c r="X191" s="73">
        <v>17671</v>
      </c>
      <c r="Y191" s="73">
        <v>2445.73</v>
      </c>
      <c r="Z191" t="str">
        <f t="shared" si="14"/>
        <v>Vessel Surface Area</v>
      </c>
    </row>
    <row r="192" spans="1:26" ht="12.75">
      <c r="A192" t="s">
        <v>17</v>
      </c>
      <c r="B192" s="73">
        <v>0.75</v>
      </c>
      <c r="C192" s="83">
        <v>1.375</v>
      </c>
      <c r="D192" s="73">
        <v>2.125</v>
      </c>
      <c r="E192" s="73">
        <v>0.9375</v>
      </c>
      <c r="F192" s="75">
        <v>2.75</v>
      </c>
      <c r="G192" s="83">
        <v>0.25</v>
      </c>
      <c r="H192" s="73">
        <v>0.75</v>
      </c>
      <c r="I192" s="73">
        <v>2.125</v>
      </c>
      <c r="J192" s="75">
        <v>1</v>
      </c>
      <c r="K192" s="73">
        <v>0.5625</v>
      </c>
      <c r="L192" s="73">
        <v>1</v>
      </c>
      <c r="M192" s="75">
        <v>1</v>
      </c>
      <c r="N192" s="75">
        <v>0.4375</v>
      </c>
      <c r="O192" s="75">
        <v>0.4375</v>
      </c>
      <c r="P192" s="73">
        <v>0.5625</v>
      </c>
      <c r="Q192" s="73">
        <v>1.3125</v>
      </c>
      <c r="R192" s="73">
        <v>1.4375</v>
      </c>
      <c r="S192" s="73">
        <v>0.25</v>
      </c>
      <c r="T192" s="73">
        <v>0.65625</v>
      </c>
      <c r="U192" s="73">
        <v>0.5</v>
      </c>
      <c r="V192" s="73">
        <v>0.53125</v>
      </c>
      <c r="W192" s="73">
        <v>0.90625</v>
      </c>
      <c r="X192" s="73">
        <v>0.75</v>
      </c>
      <c r="Y192" s="75">
        <v>1.125</v>
      </c>
      <c r="Z192" t="str">
        <f t="shared" si="14"/>
        <v>Vessel Shell Thickness =</v>
      </c>
    </row>
    <row r="193" spans="1:26" ht="12.75">
      <c r="A193" t="s">
        <v>21</v>
      </c>
      <c r="B193" s="74">
        <v>240000</v>
      </c>
      <c r="C193" s="74">
        <v>70708</v>
      </c>
      <c r="D193" s="74">
        <v>588997</v>
      </c>
      <c r="E193" s="74">
        <v>288777</v>
      </c>
      <c r="F193" s="74">
        <f>2*134366</f>
        <v>268732</v>
      </c>
      <c r="G193" s="74">
        <v>8843</v>
      </c>
      <c r="H193" s="74"/>
      <c r="I193" s="74">
        <v>58000</v>
      </c>
      <c r="J193" s="74">
        <v>85000</v>
      </c>
      <c r="K193" s="74">
        <v>52000</v>
      </c>
      <c r="L193" s="74">
        <v>85000</v>
      </c>
      <c r="M193" s="74">
        <v>290000</v>
      </c>
      <c r="N193" s="74">
        <v>15476</v>
      </c>
      <c r="O193" s="74">
        <v>15476</v>
      </c>
      <c r="P193" s="74">
        <v>52000</v>
      </c>
      <c r="Q193" s="74">
        <v>220000</v>
      </c>
      <c r="R193" s="74">
        <v>384043</v>
      </c>
      <c r="S193" s="74">
        <v>1243</v>
      </c>
      <c r="T193" s="74">
        <v>20214</v>
      </c>
      <c r="U193" s="74">
        <v>4934</v>
      </c>
      <c r="V193" s="74">
        <v>8014</v>
      </c>
      <c r="W193" s="74">
        <v>104338</v>
      </c>
      <c r="X193" s="73">
        <v>538377</v>
      </c>
      <c r="Y193" s="74">
        <v>115909</v>
      </c>
      <c r="Z193" t="str">
        <f t="shared" si="14"/>
        <v>Wt Of Vessel =</v>
      </c>
    </row>
    <row r="194" spans="1:26" ht="12.75">
      <c r="A194" t="s">
        <v>24</v>
      </c>
      <c r="B194" s="73">
        <v>289.3</v>
      </c>
      <c r="C194" s="73">
        <v>350</v>
      </c>
      <c r="D194" s="73">
        <v>250</v>
      </c>
      <c r="E194" s="73">
        <v>100</v>
      </c>
      <c r="F194" s="73">
        <v>750</v>
      </c>
      <c r="G194" s="73">
        <v>50</v>
      </c>
      <c r="H194" s="71">
        <f>15*14.7</f>
        <v>220.5</v>
      </c>
      <c r="I194" s="73">
        <v>100</v>
      </c>
      <c r="J194" s="73">
        <v>100</v>
      </c>
      <c r="K194" s="73">
        <v>100</v>
      </c>
      <c r="L194" s="73">
        <v>100</v>
      </c>
      <c r="M194" s="73">
        <v>85</v>
      </c>
      <c r="N194" s="73">
        <v>110</v>
      </c>
      <c r="O194" s="73">
        <v>110</v>
      </c>
      <c r="P194" s="73">
        <v>100</v>
      </c>
      <c r="Q194" s="73">
        <v>350</v>
      </c>
      <c r="R194" s="73">
        <v>150</v>
      </c>
      <c r="S194" s="73">
        <v>235.3</v>
      </c>
      <c r="T194" s="73">
        <v>278.47</v>
      </c>
      <c r="U194" s="73">
        <v>250</v>
      </c>
      <c r="V194" s="73">
        <v>250</v>
      </c>
      <c r="W194" s="73">
        <v>180</v>
      </c>
      <c r="X194" s="73">
        <v>50</v>
      </c>
      <c r="Y194" s="73">
        <v>325</v>
      </c>
      <c r="Z194" t="str">
        <f t="shared" si="14"/>
        <v>Vessel Design Pressure, psig =</v>
      </c>
    </row>
    <row r="195" spans="1:26" ht="12.75">
      <c r="A195" t="s">
        <v>28</v>
      </c>
      <c r="B195" s="73">
        <v>350</v>
      </c>
      <c r="C195" s="73">
        <v>420</v>
      </c>
      <c r="D195" s="73">
        <v>300</v>
      </c>
      <c r="E195" s="73">
        <v>55</v>
      </c>
      <c r="F195" s="73">
        <v>900</v>
      </c>
      <c r="G195" s="73">
        <v>60</v>
      </c>
      <c r="H195" s="73">
        <v>350</v>
      </c>
      <c r="I195" s="73">
        <v>120</v>
      </c>
      <c r="J195" s="73">
        <v>120</v>
      </c>
      <c r="K195" s="73">
        <v>121</v>
      </c>
      <c r="L195" s="73">
        <v>120</v>
      </c>
      <c r="M195" s="73">
        <v>102.85</v>
      </c>
      <c r="N195" s="73">
        <v>50</v>
      </c>
      <c r="O195" s="73">
        <v>50</v>
      </c>
      <c r="P195" s="73">
        <v>121</v>
      </c>
      <c r="Q195" s="73">
        <v>302.5</v>
      </c>
      <c r="R195" s="73">
        <v>116.05</v>
      </c>
      <c r="S195" s="84">
        <f>6.61*10*14.5038</f>
        <v>958.7011800000001</v>
      </c>
      <c r="T195" s="73">
        <v>263.25</v>
      </c>
      <c r="U195" s="73">
        <v>302.5</v>
      </c>
      <c r="V195" s="73">
        <v>300</v>
      </c>
      <c r="W195" s="73">
        <v>217.8</v>
      </c>
      <c r="X195" s="73">
        <v>16.3</v>
      </c>
      <c r="Y195" s="73">
        <v>325</v>
      </c>
      <c r="Z195" t="str">
        <f t="shared" si="14"/>
        <v>Vessel Failure Pressure, psig = </v>
      </c>
    </row>
    <row r="196" spans="1:26" ht="12.75">
      <c r="A196" t="s">
        <v>368</v>
      </c>
      <c r="B196" s="73">
        <v>154</v>
      </c>
      <c r="C196" s="73">
        <v>10</v>
      </c>
      <c r="D196" s="73">
        <v>140</v>
      </c>
      <c r="E196" s="73">
        <v>120</v>
      </c>
      <c r="F196" s="73">
        <v>400</v>
      </c>
      <c r="G196" s="73">
        <v>282</v>
      </c>
      <c r="H196" s="73">
        <v>154</v>
      </c>
      <c r="I196" s="73">
        <v>200</v>
      </c>
      <c r="J196" s="73">
        <v>200</v>
      </c>
      <c r="K196" s="73">
        <v>185</v>
      </c>
      <c r="L196" s="73">
        <v>200</v>
      </c>
      <c r="M196" s="73">
        <v>150</v>
      </c>
      <c r="N196" s="73">
        <v>86</v>
      </c>
      <c r="O196" s="73">
        <v>86</v>
      </c>
      <c r="P196" s="73">
        <v>185</v>
      </c>
      <c r="Q196" s="73">
        <v>138</v>
      </c>
      <c r="R196" s="73">
        <v>127</v>
      </c>
      <c r="S196" s="73">
        <v>1268</v>
      </c>
      <c r="T196" s="73">
        <v>131.6</v>
      </c>
      <c r="U196" s="73">
        <v>143</v>
      </c>
      <c r="V196" s="73">
        <v>143</v>
      </c>
      <c r="W196" s="73">
        <v>120</v>
      </c>
      <c r="X196" s="73">
        <v>140</v>
      </c>
      <c r="Y196" s="73">
        <v>135</v>
      </c>
      <c r="Z196" t="str">
        <f t="shared" si="14"/>
        <v>Vapor Temp at Failure Pressure =</v>
      </c>
    </row>
    <row r="197" spans="1:26" ht="12.75">
      <c r="A197" t="s">
        <v>32</v>
      </c>
      <c r="B197" s="73">
        <v>44</v>
      </c>
      <c r="C197" s="73">
        <v>28</v>
      </c>
      <c r="D197" s="73">
        <v>44</v>
      </c>
      <c r="E197" s="73">
        <v>58</v>
      </c>
      <c r="F197" s="73">
        <v>58</v>
      </c>
      <c r="G197" s="73">
        <v>53</v>
      </c>
      <c r="H197" s="73">
        <v>44</v>
      </c>
      <c r="I197" s="73">
        <v>86</v>
      </c>
      <c r="J197" s="73">
        <v>84</v>
      </c>
      <c r="K197" s="73">
        <v>54</v>
      </c>
      <c r="L197" s="73">
        <v>56</v>
      </c>
      <c r="M197" s="73">
        <v>54</v>
      </c>
      <c r="N197" s="73">
        <v>64.5</v>
      </c>
      <c r="O197" s="73">
        <v>100.5</v>
      </c>
      <c r="P197" s="73">
        <v>44</v>
      </c>
      <c r="Q197" s="73">
        <v>44</v>
      </c>
      <c r="R197" s="73">
        <v>62.5</v>
      </c>
      <c r="S197" s="73">
        <v>44</v>
      </c>
      <c r="T197" s="73">
        <v>44</v>
      </c>
      <c r="U197" s="73">
        <v>44</v>
      </c>
      <c r="V197" s="73">
        <v>44</v>
      </c>
      <c r="W197" s="73">
        <v>58</v>
      </c>
      <c r="X197" s="73">
        <v>72</v>
      </c>
      <c r="Y197" s="73">
        <v>42</v>
      </c>
      <c r="Z197" t="str">
        <f t="shared" si="14"/>
        <v>Molecular Weight</v>
      </c>
    </row>
    <row r="198" spans="1:26" ht="12.75">
      <c r="A198" t="s">
        <v>369</v>
      </c>
      <c r="B198" s="76">
        <v>497.5509</v>
      </c>
      <c r="C198" s="71">
        <f>C189*0.9*C199/2000</f>
        <v>32.003055</v>
      </c>
      <c r="D198" s="76">
        <v>664.63</v>
      </c>
      <c r="E198" s="76">
        <v>514.718985</v>
      </c>
      <c r="F198" s="76">
        <f>85200/2000</f>
        <v>42.6</v>
      </c>
      <c r="G198" s="71">
        <f>32491/2000</f>
        <v>16.2455</v>
      </c>
      <c r="H198" s="76">
        <f>H199*H190/2000</f>
        <v>13.188226546566215</v>
      </c>
      <c r="I198" s="76">
        <v>30.86</v>
      </c>
      <c r="J198" s="76">
        <v>122.46888969521</v>
      </c>
      <c r="K198" s="73">
        <v>87.4</v>
      </c>
      <c r="L198" s="73">
        <v>43.6</v>
      </c>
      <c r="M198" s="76">
        <v>865</v>
      </c>
      <c r="N198" s="76">
        <v>33.5</v>
      </c>
      <c r="O198" s="76">
        <v>44.6</v>
      </c>
      <c r="P198" s="73">
        <f>100*1000*2.2046/2000</f>
        <v>110.23</v>
      </c>
      <c r="Q198" s="73">
        <v>19.1471571906354</v>
      </c>
      <c r="R198" s="73">
        <v>1081.22</v>
      </c>
      <c r="S198" s="73" t="e">
        <f>#REF!*1000*2.2046/2000</f>
        <v>#REF!</v>
      </c>
      <c r="T198" s="73">
        <v>9.6795</v>
      </c>
      <c r="U198" s="73">
        <f>2.48*1000*2.2046/2000</f>
        <v>2.7337040000000004</v>
      </c>
      <c r="V198" s="73">
        <f>4.32*1000*2.2046/2000</f>
        <v>4.761936</v>
      </c>
      <c r="W198" s="76">
        <v>32.501315500000004</v>
      </c>
      <c r="X198" s="73">
        <v>3175.73</v>
      </c>
      <c r="Y198" s="76">
        <f>131225/2000</f>
        <v>65.6125</v>
      </c>
      <c r="Z198" t="str">
        <f t="shared" si="14"/>
        <v>Max Storage Tons @ 90% Full =</v>
      </c>
    </row>
    <row r="199" spans="1:26" ht="12.75">
      <c r="A199" t="s">
        <v>36</v>
      </c>
      <c r="B199" s="76">
        <v>25.34</v>
      </c>
      <c r="C199" s="71">
        <v>28.3</v>
      </c>
      <c r="D199" s="76">
        <v>26.32</v>
      </c>
      <c r="E199" s="76">
        <v>36.44</v>
      </c>
      <c r="F199" s="76">
        <v>26.12</v>
      </c>
      <c r="G199" s="71">
        <v>46.17</v>
      </c>
      <c r="H199" s="76">
        <f>585.3/421.61*26.32</f>
        <v>36.53873484974265</v>
      </c>
      <c r="I199" s="76">
        <v>38.4</v>
      </c>
      <c r="J199" s="76">
        <v>38.4</v>
      </c>
      <c r="K199" s="73">
        <v>38</v>
      </c>
      <c r="L199" s="73">
        <v>36</v>
      </c>
      <c r="M199" s="76">
        <v>42.34</v>
      </c>
      <c r="N199" s="76">
        <v>56.8</v>
      </c>
      <c r="O199" s="76">
        <v>74.54</v>
      </c>
      <c r="P199" s="73">
        <v>55</v>
      </c>
      <c r="Q199" s="73">
        <v>27</v>
      </c>
      <c r="R199" s="73">
        <v>53.32</v>
      </c>
      <c r="S199" s="73">
        <v>27</v>
      </c>
      <c r="T199" s="73">
        <v>27.41</v>
      </c>
      <c r="U199" s="73">
        <v>30.18</v>
      </c>
      <c r="V199" s="73">
        <v>30.18</v>
      </c>
      <c r="W199" s="76">
        <v>36.44</v>
      </c>
      <c r="X199" s="73">
        <v>36.51</v>
      </c>
      <c r="Y199" s="76">
        <v>31.4</v>
      </c>
      <c r="Z199" t="str">
        <f t="shared" si="14"/>
        <v>Liquid Density =</v>
      </c>
    </row>
    <row r="200" spans="1:26" ht="12.75">
      <c r="A200" t="s">
        <v>370</v>
      </c>
      <c r="B200" s="74">
        <v>68</v>
      </c>
      <c r="C200" s="73">
        <v>78</v>
      </c>
      <c r="D200" s="74">
        <v>78</v>
      </c>
      <c r="E200" s="74">
        <v>44.6</v>
      </c>
      <c r="F200" s="74">
        <v>70</v>
      </c>
      <c r="G200" s="73">
        <v>68</v>
      </c>
      <c r="H200" s="74">
        <v>78</v>
      </c>
      <c r="I200" s="74">
        <v>78</v>
      </c>
      <c r="J200" s="74">
        <v>70</v>
      </c>
      <c r="K200" s="73">
        <v>80</v>
      </c>
      <c r="L200" s="73">
        <v>86</v>
      </c>
      <c r="M200" s="74">
        <v>80</v>
      </c>
      <c r="N200" s="74">
        <v>68</v>
      </c>
      <c r="O200" s="74">
        <v>86</v>
      </c>
      <c r="P200" s="73">
        <v>77</v>
      </c>
      <c r="Q200" s="73">
        <v>86</v>
      </c>
      <c r="R200" s="73">
        <v>86</v>
      </c>
      <c r="S200" s="73">
        <v>86</v>
      </c>
      <c r="T200" s="73">
        <v>68</v>
      </c>
      <c r="U200" s="73">
        <v>86</v>
      </c>
      <c r="V200" s="73">
        <v>86</v>
      </c>
      <c r="W200" s="74">
        <v>90</v>
      </c>
      <c r="X200" s="73">
        <v>77</v>
      </c>
      <c r="Y200" s="74">
        <v>77</v>
      </c>
      <c r="Z200" t="str">
        <f t="shared" si="14"/>
        <v>Ambient Temperature =</v>
      </c>
    </row>
    <row r="201" spans="1:26" ht="12.75">
      <c r="A201" t="s">
        <v>41</v>
      </c>
      <c r="B201" s="73">
        <v>14.7</v>
      </c>
      <c r="C201" s="73">
        <v>13.6</v>
      </c>
      <c r="D201" s="73">
        <v>14.7</v>
      </c>
      <c r="E201" s="73">
        <v>14.7</v>
      </c>
      <c r="F201" s="73">
        <v>14.7</v>
      </c>
      <c r="G201" s="73">
        <v>14.7</v>
      </c>
      <c r="H201" s="73">
        <v>14.7</v>
      </c>
      <c r="I201" s="73">
        <v>14.7</v>
      </c>
      <c r="J201" s="73">
        <v>14.7</v>
      </c>
      <c r="K201" s="73">
        <v>14.4</v>
      </c>
      <c r="L201" s="73">
        <v>14.7</v>
      </c>
      <c r="M201" s="73">
        <v>14.7</v>
      </c>
      <c r="N201" s="73">
        <v>14.4</v>
      </c>
      <c r="O201" s="73">
        <v>14.4</v>
      </c>
      <c r="P201" s="73">
        <v>14.7</v>
      </c>
      <c r="Q201" s="73">
        <v>14.7</v>
      </c>
      <c r="R201" s="73">
        <v>14.7</v>
      </c>
      <c r="S201" s="73">
        <v>14.7</v>
      </c>
      <c r="T201" s="73">
        <v>14.5</v>
      </c>
      <c r="U201" s="73">
        <v>14.696</v>
      </c>
      <c r="V201" s="73">
        <v>14.696</v>
      </c>
      <c r="W201" s="73">
        <v>14.7</v>
      </c>
      <c r="X201" s="73">
        <v>14.7</v>
      </c>
      <c r="Y201" s="73">
        <v>14.7</v>
      </c>
      <c r="Z201" t="str">
        <f t="shared" si="14"/>
        <v>Atmospheric Pressure, =</v>
      </c>
    </row>
    <row r="202" spans="1:26" ht="12.75">
      <c r="A202" t="s">
        <v>44</v>
      </c>
      <c r="B202" s="77">
        <v>0.5</v>
      </c>
      <c r="C202" s="77">
        <v>0.3</v>
      </c>
      <c r="D202" s="77">
        <v>0.836</v>
      </c>
      <c r="E202" s="77">
        <v>0.836</v>
      </c>
      <c r="F202" s="77">
        <v>0.836</v>
      </c>
      <c r="G202" s="77">
        <v>0.3</v>
      </c>
      <c r="H202" s="77">
        <v>0.836</v>
      </c>
      <c r="I202" s="77">
        <v>0.836</v>
      </c>
      <c r="J202" s="77">
        <v>0.836</v>
      </c>
      <c r="K202" s="73">
        <v>0.5</v>
      </c>
      <c r="L202" s="73">
        <v>0.836</v>
      </c>
      <c r="M202" s="77">
        <v>0.8</v>
      </c>
      <c r="N202" s="77">
        <v>0.5</v>
      </c>
      <c r="O202" s="77">
        <v>0.5</v>
      </c>
      <c r="P202" s="73">
        <v>0.5</v>
      </c>
      <c r="Q202" s="73">
        <v>0.5</v>
      </c>
      <c r="R202" s="73">
        <v>0.5</v>
      </c>
      <c r="S202" s="73">
        <v>0.5</v>
      </c>
      <c r="T202" s="73">
        <v>0.5</v>
      </c>
      <c r="U202" s="73">
        <v>0.5</v>
      </c>
      <c r="V202" s="73">
        <v>0.5</v>
      </c>
      <c r="W202" s="77">
        <v>0.5</v>
      </c>
      <c r="X202" s="77">
        <v>0.5</v>
      </c>
      <c r="Y202" s="77">
        <v>0.5</v>
      </c>
      <c r="Z202" t="str">
        <f t="shared" si="14"/>
        <v>Relative Humidity =</v>
      </c>
    </row>
    <row r="203" spans="1:26" ht="12.75">
      <c r="A203" t="s">
        <v>371</v>
      </c>
      <c r="B203" s="73">
        <v>154</v>
      </c>
      <c r="C203" s="73">
        <v>-32</v>
      </c>
      <c r="D203" s="73">
        <v>68</v>
      </c>
      <c r="E203" s="73">
        <v>120</v>
      </c>
      <c r="F203" s="73">
        <v>198</v>
      </c>
      <c r="G203" s="73">
        <v>282</v>
      </c>
      <c r="H203" s="73">
        <v>68</v>
      </c>
      <c r="I203" s="73">
        <v>266</v>
      </c>
      <c r="J203" s="73">
        <v>283</v>
      </c>
      <c r="K203" s="73">
        <v>80</v>
      </c>
      <c r="L203" s="73">
        <v>86</v>
      </c>
      <c r="M203" s="73">
        <v>38</v>
      </c>
      <c r="N203" s="73">
        <v>86</v>
      </c>
      <c r="O203" s="73">
        <v>86</v>
      </c>
      <c r="P203" s="73">
        <v>77</v>
      </c>
      <c r="Q203" s="73">
        <v>138</v>
      </c>
      <c r="R203" s="73">
        <v>127</v>
      </c>
      <c r="S203" s="73">
        <v>1268</v>
      </c>
      <c r="T203" s="73">
        <v>131.6</v>
      </c>
      <c r="U203" s="73">
        <v>143</v>
      </c>
      <c r="V203" s="73">
        <v>143</v>
      </c>
      <c r="W203" s="73">
        <v>120</v>
      </c>
      <c r="X203" s="73">
        <v>140</v>
      </c>
      <c r="Y203" s="73">
        <v>135</v>
      </c>
      <c r="Z203" t="str">
        <f t="shared" si="14"/>
        <v>Flow Temperature</v>
      </c>
    </row>
    <row r="204" spans="1:26" ht="12.75">
      <c r="A204" t="s">
        <v>372</v>
      </c>
      <c r="B204" s="73">
        <v>-44</v>
      </c>
      <c r="C204" s="73">
        <v>-155</v>
      </c>
      <c r="D204" s="73">
        <v>-46</v>
      </c>
      <c r="E204" s="73">
        <v>31</v>
      </c>
      <c r="F204" s="73">
        <v>11</v>
      </c>
      <c r="G204" s="73">
        <v>171</v>
      </c>
      <c r="H204" s="73">
        <v>-46</v>
      </c>
      <c r="I204" s="73">
        <f>69*1.8+32</f>
        <v>156.2</v>
      </c>
      <c r="J204" s="73">
        <v>177</v>
      </c>
      <c r="K204" s="73">
        <v>24</v>
      </c>
      <c r="L204" s="73">
        <v>20</v>
      </c>
      <c r="M204" s="73">
        <v>24</v>
      </c>
      <c r="N204" s="73">
        <v>54</v>
      </c>
      <c r="O204" s="73">
        <v>14.5</v>
      </c>
      <c r="P204" s="73">
        <v>51</v>
      </c>
      <c r="Q204" s="73">
        <v>-46</v>
      </c>
      <c r="R204" s="73">
        <v>7</v>
      </c>
      <c r="S204" s="73">
        <v>-46</v>
      </c>
      <c r="T204" s="73">
        <v>-43.8</v>
      </c>
      <c r="U204" s="73">
        <v>-43.8</v>
      </c>
      <c r="V204" s="73">
        <v>-43.8</v>
      </c>
      <c r="W204" s="73">
        <v>31</v>
      </c>
      <c r="X204" s="73">
        <v>97</v>
      </c>
      <c r="Y204" s="73">
        <v>-53.9</v>
      </c>
      <c r="Z204" t="str">
        <f t="shared" si="14"/>
        <v>Atmospheric Boiling Pt. =</v>
      </c>
    </row>
    <row r="205" spans="1:26" ht="12.75">
      <c r="A205" t="s">
        <v>48</v>
      </c>
      <c r="B205" s="73">
        <v>0.52</v>
      </c>
      <c r="C205" s="73">
        <v>0.5</v>
      </c>
      <c r="D205" s="73">
        <v>0.55412</v>
      </c>
      <c r="E205" s="73">
        <v>0.61625</v>
      </c>
      <c r="F205" s="73">
        <v>0.756</v>
      </c>
      <c r="G205" s="73">
        <v>0.50325</v>
      </c>
      <c r="H205" s="73">
        <v>0.55412</v>
      </c>
      <c r="I205" s="73">
        <v>0.5732</v>
      </c>
      <c r="J205" s="73">
        <v>0.52</v>
      </c>
      <c r="K205" s="73">
        <v>0.5124</v>
      </c>
      <c r="L205" s="73">
        <v>0.58</v>
      </c>
      <c r="M205" s="73">
        <v>0.52</v>
      </c>
      <c r="N205" s="73">
        <v>0.3784</v>
      </c>
      <c r="O205" s="73">
        <v>0.3</v>
      </c>
      <c r="P205" s="73">
        <v>0.48</v>
      </c>
      <c r="Q205" s="73">
        <v>0.52</v>
      </c>
      <c r="R205" s="73">
        <v>0.347</v>
      </c>
      <c r="S205" s="73">
        <v>0.52</v>
      </c>
      <c r="T205" s="73">
        <v>0.52</v>
      </c>
      <c r="U205" s="73">
        <v>0.566</v>
      </c>
      <c r="V205" s="73">
        <v>0.566</v>
      </c>
      <c r="W205" s="73">
        <v>0.61625</v>
      </c>
      <c r="X205" s="73">
        <v>0.57</v>
      </c>
      <c r="Y205" s="73">
        <v>0.585</v>
      </c>
      <c r="Z205" t="str">
        <f t="shared" si="14"/>
        <v>Avg Liq Cp Between Amb &amp; Stg Temp</v>
      </c>
    </row>
    <row r="206" spans="1:26" ht="12.75">
      <c r="A206" t="s">
        <v>51</v>
      </c>
      <c r="B206" s="73">
        <v>183.2</v>
      </c>
      <c r="C206" s="73">
        <v>147</v>
      </c>
      <c r="D206" s="73">
        <v>209.8</v>
      </c>
      <c r="E206" s="73">
        <v>168</v>
      </c>
      <c r="F206" s="73">
        <v>157</v>
      </c>
      <c r="G206" s="73">
        <v>265</v>
      </c>
      <c r="H206" s="73">
        <v>209.8</v>
      </c>
      <c r="I206" s="73">
        <v>146.17</v>
      </c>
      <c r="J206" s="73">
        <v>153.1</v>
      </c>
      <c r="K206" s="73">
        <v>179</v>
      </c>
      <c r="L206" s="73">
        <v>168</v>
      </c>
      <c r="M206" s="73">
        <v>179</v>
      </c>
      <c r="N206" s="73">
        <v>165</v>
      </c>
      <c r="O206" s="73">
        <v>94</v>
      </c>
      <c r="P206" s="73">
        <v>249.5</v>
      </c>
      <c r="Q206" s="73">
        <v>183.2</v>
      </c>
      <c r="R206" s="73">
        <v>152</v>
      </c>
      <c r="S206" s="73">
        <v>183.2</v>
      </c>
      <c r="T206" s="73">
        <v>183.2</v>
      </c>
      <c r="U206" s="73">
        <v>183.2</v>
      </c>
      <c r="V206" s="73">
        <v>183.2</v>
      </c>
      <c r="W206" s="73">
        <v>168</v>
      </c>
      <c r="X206" s="73">
        <v>153.59</v>
      </c>
      <c r="Y206" s="73">
        <v>188</v>
      </c>
      <c r="Z206" t="str">
        <f t="shared" si="14"/>
        <v>Latent Heat at Atm Boiling Point =</v>
      </c>
    </row>
    <row r="207" spans="1:26" ht="12.75">
      <c r="A207" t="s">
        <v>54</v>
      </c>
      <c r="B207" s="73">
        <v>0.021</v>
      </c>
      <c r="C207" s="77">
        <v>0.027</v>
      </c>
      <c r="D207" s="73">
        <v>0.021</v>
      </c>
      <c r="E207" s="77">
        <v>0.015</v>
      </c>
      <c r="F207" s="73">
        <v>0.015</v>
      </c>
      <c r="G207" s="77">
        <v>0.03</v>
      </c>
      <c r="H207" s="73">
        <v>0.021</v>
      </c>
      <c r="I207" s="73">
        <v>0.012</v>
      </c>
      <c r="J207" s="73">
        <v>0.012</v>
      </c>
      <c r="K207" s="73">
        <v>0.02</v>
      </c>
      <c r="L207" s="73">
        <v>0.016</v>
      </c>
      <c r="M207" s="73">
        <v>0.02</v>
      </c>
      <c r="N207" s="73">
        <v>0.038</v>
      </c>
      <c r="O207" s="73">
        <v>0.078</v>
      </c>
      <c r="P207" s="73">
        <v>0.03</v>
      </c>
      <c r="Q207" s="73">
        <v>0.021</v>
      </c>
      <c r="R207" s="73">
        <v>0.036</v>
      </c>
      <c r="S207" s="73">
        <v>0.021</v>
      </c>
      <c r="T207" s="73">
        <v>0.021</v>
      </c>
      <c r="U207" s="73">
        <v>0.021</v>
      </c>
      <c r="V207" s="73">
        <v>0.021</v>
      </c>
      <c r="W207" s="77">
        <v>0.018</v>
      </c>
      <c r="X207" s="73">
        <v>0.014</v>
      </c>
      <c r="Y207" s="73">
        <v>0.02</v>
      </c>
      <c r="Z207" t="str">
        <f t="shared" si="14"/>
        <v>Lower Flammable Limit</v>
      </c>
    </row>
    <row r="208" spans="1:26" ht="12.75">
      <c r="A208" t="s">
        <v>55</v>
      </c>
      <c r="B208" s="73">
        <v>0.095</v>
      </c>
      <c r="C208" s="77">
        <v>0.36</v>
      </c>
      <c r="D208" s="73">
        <v>0.095</v>
      </c>
      <c r="E208" s="77">
        <v>0.085</v>
      </c>
      <c r="F208" s="73">
        <v>0.085</v>
      </c>
      <c r="G208" s="77">
        <v>0.17</v>
      </c>
      <c r="H208" s="73">
        <v>0.095</v>
      </c>
      <c r="I208" s="73">
        <v>0.075</v>
      </c>
      <c r="J208" s="73">
        <v>0.08</v>
      </c>
      <c r="K208" s="73">
        <v>0.12</v>
      </c>
      <c r="L208" s="73">
        <v>0.096</v>
      </c>
      <c r="M208" s="73">
        <v>0.12</v>
      </c>
      <c r="N208" s="73">
        <v>0.158</v>
      </c>
      <c r="O208" s="73">
        <v>0.155</v>
      </c>
      <c r="P208" s="73">
        <v>1</v>
      </c>
      <c r="Q208" s="73">
        <v>0.095</v>
      </c>
      <c r="R208" s="73">
        <v>0.33</v>
      </c>
      <c r="S208" s="73">
        <v>0.095</v>
      </c>
      <c r="T208" s="73">
        <v>0.095</v>
      </c>
      <c r="U208" s="73">
        <v>0.095</v>
      </c>
      <c r="V208" s="73">
        <v>0.095</v>
      </c>
      <c r="W208" s="77">
        <v>0.084</v>
      </c>
      <c r="X208" s="73">
        <v>0.083</v>
      </c>
      <c r="Y208" s="73">
        <v>0.1</v>
      </c>
      <c r="Z208" t="str">
        <f t="shared" si="14"/>
        <v>Upper Flammable Limit</v>
      </c>
    </row>
    <row r="209" spans="1:26" ht="12.75">
      <c r="A209" t="s">
        <v>56</v>
      </c>
      <c r="B209" s="74">
        <v>19900</v>
      </c>
      <c r="C209" s="74">
        <v>20800</v>
      </c>
      <c r="D209" s="74">
        <v>19900</v>
      </c>
      <c r="E209" s="74">
        <v>19700</v>
      </c>
      <c r="F209" s="74">
        <v>19700</v>
      </c>
      <c r="G209" s="74">
        <v>9900</v>
      </c>
      <c r="H209" s="74">
        <v>19900</v>
      </c>
      <c r="I209" s="74">
        <v>19350</v>
      </c>
      <c r="J209" s="74">
        <v>18700</v>
      </c>
      <c r="K209" s="74">
        <v>19200</v>
      </c>
      <c r="L209" s="74">
        <v>19440</v>
      </c>
      <c r="M209" s="74">
        <v>19200</v>
      </c>
      <c r="N209" s="74">
        <v>8200</v>
      </c>
      <c r="O209" s="74">
        <v>4600</v>
      </c>
      <c r="P209" s="74">
        <v>11700</v>
      </c>
      <c r="Q209" s="74">
        <v>19900</v>
      </c>
      <c r="R209" s="74">
        <v>8000</v>
      </c>
      <c r="S209" s="74">
        <v>19900</v>
      </c>
      <c r="T209" s="74">
        <v>19900</v>
      </c>
      <c r="U209" s="74">
        <v>19900</v>
      </c>
      <c r="V209" s="74">
        <v>19900</v>
      </c>
      <c r="W209" s="74">
        <v>19700</v>
      </c>
      <c r="X209" s="73">
        <v>19500</v>
      </c>
      <c r="Y209" s="74">
        <v>19684</v>
      </c>
      <c r="Z209" t="str">
        <f t="shared" si="14"/>
        <v>Heat Of Combustion =</v>
      </c>
    </row>
    <row r="210" spans="1:26" ht="12.75">
      <c r="A210" t="s">
        <v>58</v>
      </c>
      <c r="B210" s="73">
        <v>5</v>
      </c>
      <c r="C210" s="73">
        <v>3</v>
      </c>
      <c r="D210" s="73">
        <v>5</v>
      </c>
      <c r="E210" s="73">
        <v>6.5</v>
      </c>
      <c r="F210" s="73">
        <v>6.5</v>
      </c>
      <c r="G210" s="73">
        <v>2.5</v>
      </c>
      <c r="H210" s="73">
        <v>5</v>
      </c>
      <c r="I210" s="73">
        <f>6+14/4</f>
        <v>9.5</v>
      </c>
      <c r="J210" s="73">
        <v>9</v>
      </c>
      <c r="K210" s="73">
        <v>5.5</v>
      </c>
      <c r="L210" s="73">
        <v>6</v>
      </c>
      <c r="M210" s="73">
        <v>5</v>
      </c>
      <c r="N210" s="73">
        <v>3</v>
      </c>
      <c r="O210" s="73">
        <v>2</v>
      </c>
      <c r="P210" s="73">
        <v>2.5</v>
      </c>
      <c r="Q210" s="73">
        <v>5</v>
      </c>
      <c r="R210" s="73">
        <v>2.5</v>
      </c>
      <c r="S210" s="73">
        <v>5</v>
      </c>
      <c r="T210" s="73">
        <v>5</v>
      </c>
      <c r="U210" s="73">
        <v>5</v>
      </c>
      <c r="V210" s="73">
        <v>5</v>
      </c>
      <c r="W210" s="73">
        <v>6.5</v>
      </c>
      <c r="X210" s="73">
        <v>8</v>
      </c>
      <c r="Y210" s="73">
        <v>4.5</v>
      </c>
      <c r="Z210" t="str">
        <f t="shared" si="14"/>
        <v>Mols O2/Mols HC On Combustion =</v>
      </c>
    </row>
    <row r="211" ht="12.75">
      <c r="J211" s="13"/>
    </row>
    <row r="212" spans="1:3" ht="12.75">
      <c r="A212" s="82" t="s">
        <v>373</v>
      </c>
      <c r="B212" s="79"/>
      <c r="C212" s="79"/>
    </row>
    <row r="214" spans="1:6" ht="12.75">
      <c r="A214" t="s">
        <v>374</v>
      </c>
      <c r="B214" s="12" t="s">
        <v>375</v>
      </c>
      <c r="C214" s="12" t="s">
        <v>376</v>
      </c>
      <c r="D214" s="12" t="s">
        <v>377</v>
      </c>
      <c r="E214" s="12" t="s">
        <v>378</v>
      </c>
      <c r="F214" s="12" t="s">
        <v>379</v>
      </c>
    </row>
    <row r="215" spans="1:6" ht="12.75">
      <c r="A215" t="s">
        <v>380</v>
      </c>
      <c r="B215" s="12">
        <v>1</v>
      </c>
      <c r="C215" s="12">
        <v>3</v>
      </c>
      <c r="D215" s="12"/>
      <c r="E215" s="12">
        <v>2</v>
      </c>
      <c r="F215" s="12">
        <v>2</v>
      </c>
    </row>
    <row r="217" spans="1:5" ht="12.75">
      <c r="A217" t="s">
        <v>381</v>
      </c>
      <c r="C217" s="12">
        <v>3</v>
      </c>
      <c r="D217" t="s">
        <v>382</v>
      </c>
      <c r="E217" t="s">
        <v>383</v>
      </c>
    </row>
    <row r="218" spans="3:5" ht="12.75">
      <c r="C218" s="12"/>
      <c r="E218" t="s">
        <v>384</v>
      </c>
    </row>
    <row r="219" ht="12.75">
      <c r="B219" t="s">
        <v>385</v>
      </c>
    </row>
    <row r="220" spans="1:10" ht="12.75">
      <c r="A220" s="12" t="s">
        <v>386</v>
      </c>
      <c r="B220" t="s">
        <v>387</v>
      </c>
      <c r="C220" s="12" t="s">
        <v>388</v>
      </c>
      <c r="D220" s="12" t="s">
        <v>389</v>
      </c>
      <c r="E220" s="12" t="s">
        <v>390</v>
      </c>
      <c r="F220" s="12" t="s">
        <v>391</v>
      </c>
      <c r="G220" t="s">
        <v>392</v>
      </c>
      <c r="H220" t="s">
        <v>393</v>
      </c>
      <c r="I220" t="s">
        <v>378</v>
      </c>
      <c r="J220" t="s">
        <v>394</v>
      </c>
    </row>
    <row r="221" spans="1:10" ht="12.75">
      <c r="A221" s="12">
        <v>1</v>
      </c>
      <c r="B221" t="s">
        <v>395</v>
      </c>
      <c r="C221" s="12">
        <v>1.5</v>
      </c>
      <c r="D221" s="12">
        <v>8.5</v>
      </c>
      <c r="E221" s="12">
        <v>6.5</v>
      </c>
      <c r="F221" s="15">
        <v>19700</v>
      </c>
      <c r="G221" t="s">
        <v>358</v>
      </c>
      <c r="H221" t="s">
        <v>396</v>
      </c>
      <c r="I221" t="s">
        <v>397</v>
      </c>
      <c r="J221" t="s">
        <v>398</v>
      </c>
    </row>
    <row r="222" spans="1:10" ht="12.75">
      <c r="A222" s="12">
        <v>2</v>
      </c>
      <c r="B222" t="s">
        <v>319</v>
      </c>
      <c r="C222" s="12">
        <v>2.1</v>
      </c>
      <c r="D222" s="12">
        <v>9.5</v>
      </c>
      <c r="E222" s="12">
        <v>5</v>
      </c>
      <c r="F222" s="15">
        <v>19900</v>
      </c>
      <c r="G222" t="s">
        <v>357</v>
      </c>
      <c r="H222" t="s">
        <v>399</v>
      </c>
      <c r="I222" t="s">
        <v>400</v>
      </c>
      <c r="J222" t="s">
        <v>401</v>
      </c>
    </row>
    <row r="223" spans="1:10" ht="12.75">
      <c r="A223" s="12">
        <v>3</v>
      </c>
      <c r="B223" t="s">
        <v>402</v>
      </c>
      <c r="C223" s="12">
        <v>2</v>
      </c>
      <c r="D223" s="12">
        <v>11.7</v>
      </c>
      <c r="E223" s="12">
        <v>4.5</v>
      </c>
      <c r="F223" s="15">
        <v>19900</v>
      </c>
      <c r="G223" t="s">
        <v>403</v>
      </c>
      <c r="H223" t="s">
        <v>404</v>
      </c>
      <c r="I223" t="s">
        <v>400</v>
      </c>
      <c r="J223" t="s">
        <v>405</v>
      </c>
    </row>
    <row r="224" spans="1:10" ht="12.75">
      <c r="A224" s="12">
        <v>4</v>
      </c>
      <c r="B224" t="s">
        <v>406</v>
      </c>
      <c r="C224" s="12">
        <v>3</v>
      </c>
      <c r="D224" s="12">
        <v>13.5</v>
      </c>
      <c r="E224" s="12">
        <v>3.5</v>
      </c>
      <c r="F224" s="15">
        <v>20400</v>
      </c>
      <c r="G224" t="s">
        <v>407</v>
      </c>
      <c r="H224" t="s">
        <v>408</v>
      </c>
      <c r="I224" t="s">
        <v>409</v>
      </c>
      <c r="J224" t="s">
        <v>410</v>
      </c>
    </row>
    <row r="225" spans="1:10" ht="12.75">
      <c r="A225" s="12">
        <v>5</v>
      </c>
      <c r="B225" t="s">
        <v>356</v>
      </c>
      <c r="C225" s="12">
        <v>2.7</v>
      </c>
      <c r="D225" s="12">
        <v>36</v>
      </c>
      <c r="E225" s="12">
        <v>3</v>
      </c>
      <c r="F225" s="15">
        <v>20800</v>
      </c>
      <c r="G225" t="s">
        <v>375</v>
      </c>
      <c r="H225" t="s">
        <v>411</v>
      </c>
      <c r="I225" t="s">
        <v>409</v>
      </c>
      <c r="J225" t="s">
        <v>412</v>
      </c>
    </row>
    <row r="226" spans="1:10" ht="12.75">
      <c r="A226" s="12">
        <v>6</v>
      </c>
      <c r="B226" t="s">
        <v>366</v>
      </c>
      <c r="C226" s="12">
        <v>3</v>
      </c>
      <c r="D226" s="12">
        <v>100</v>
      </c>
      <c r="E226" s="12">
        <v>2.5</v>
      </c>
      <c r="F226" s="15">
        <v>11700</v>
      </c>
      <c r="G226" t="s">
        <v>413</v>
      </c>
      <c r="H226" t="s">
        <v>414</v>
      </c>
      <c r="I226" t="s">
        <v>409</v>
      </c>
      <c r="J226" t="s">
        <v>415</v>
      </c>
    </row>
    <row r="227" spans="1:10" ht="12.75">
      <c r="A227" s="12">
        <v>7</v>
      </c>
      <c r="B227" t="s">
        <v>416</v>
      </c>
      <c r="C227" s="12">
        <v>5</v>
      </c>
      <c r="D227" s="12">
        <v>15</v>
      </c>
      <c r="E227" s="12">
        <v>2</v>
      </c>
      <c r="F227" s="15">
        <v>21500</v>
      </c>
      <c r="G227" t="s">
        <v>417</v>
      </c>
      <c r="H227" t="s">
        <v>418</v>
      </c>
      <c r="I227" t="s">
        <v>378</v>
      </c>
      <c r="J227" t="s">
        <v>412</v>
      </c>
    </row>
    <row r="228" spans="1:10" ht="12.75">
      <c r="A228" s="12">
        <v>8</v>
      </c>
      <c r="B228" t="s">
        <v>367</v>
      </c>
      <c r="C228" s="12">
        <v>4</v>
      </c>
      <c r="D228" s="12">
        <v>29</v>
      </c>
      <c r="E228" s="12">
        <v>2.5</v>
      </c>
      <c r="F228" s="15">
        <v>8000</v>
      </c>
      <c r="G228" t="s">
        <v>419</v>
      </c>
      <c r="H228" t="s">
        <v>414</v>
      </c>
      <c r="I228" t="s">
        <v>409</v>
      </c>
      <c r="J228" t="s">
        <v>420</v>
      </c>
    </row>
    <row r="229" spans="1:11" ht="12.75">
      <c r="A229" s="12">
        <v>9</v>
      </c>
      <c r="B229" t="s">
        <v>421</v>
      </c>
      <c r="C229" s="12">
        <v>4.3</v>
      </c>
      <c r="D229" s="12">
        <v>46</v>
      </c>
      <c r="E229" s="12">
        <v>1.5</v>
      </c>
      <c r="F229" s="15">
        <v>6500</v>
      </c>
      <c r="G229" t="s">
        <v>421</v>
      </c>
      <c r="H229" t="s">
        <v>422</v>
      </c>
      <c r="I229" t="s">
        <v>423</v>
      </c>
      <c r="J229" t="s">
        <v>379</v>
      </c>
      <c r="K229" t="s">
        <v>424</v>
      </c>
    </row>
    <row r="230" spans="1:10" ht="12.75">
      <c r="A230" s="12">
        <v>10</v>
      </c>
      <c r="B230" t="s">
        <v>425</v>
      </c>
      <c r="C230" s="12">
        <v>1.5</v>
      </c>
      <c r="D230" s="12">
        <v>100</v>
      </c>
      <c r="E230" s="12">
        <v>2.5</v>
      </c>
      <c r="F230" s="15">
        <v>20700</v>
      </c>
      <c r="G230" t="s">
        <v>426</v>
      </c>
      <c r="H230" t="s">
        <v>414</v>
      </c>
      <c r="I230" t="s">
        <v>409</v>
      </c>
      <c r="J230" t="s">
        <v>420</v>
      </c>
    </row>
    <row r="231" spans="1:7" ht="12.75">
      <c r="A231" s="12">
        <v>11</v>
      </c>
      <c r="B231" s="7" t="s">
        <v>427</v>
      </c>
      <c r="C231" s="12">
        <v>1.2</v>
      </c>
      <c r="D231" s="12">
        <v>8</v>
      </c>
      <c r="E231" s="15">
        <v>9</v>
      </c>
      <c r="F231" s="15">
        <v>18700</v>
      </c>
      <c r="G231" t="s">
        <v>5</v>
      </c>
    </row>
    <row r="232" spans="1:6" ht="12.75">
      <c r="A232" s="12">
        <v>12</v>
      </c>
      <c r="B232" s="7" t="s">
        <v>428</v>
      </c>
      <c r="C232" s="12"/>
      <c r="D232" s="12"/>
      <c r="E232" s="15"/>
      <c r="F232" s="12"/>
    </row>
    <row r="233" spans="1:6" ht="12.75">
      <c r="A233" t="s">
        <v>429</v>
      </c>
      <c r="B233" s="12"/>
      <c r="C233" s="12"/>
      <c r="D233" s="12"/>
      <c r="E233" s="15"/>
      <c r="F233" s="12"/>
    </row>
    <row r="234" spans="1:6" ht="12.75">
      <c r="A234" t="s">
        <v>430</v>
      </c>
      <c r="B234" s="12">
        <v>1.9</v>
      </c>
      <c r="C234" s="12">
        <v>37</v>
      </c>
      <c r="D234" s="12" t="s">
        <v>431</v>
      </c>
      <c r="E234" s="15">
        <v>13200</v>
      </c>
      <c r="F234" s="12" t="s">
        <v>432</v>
      </c>
    </row>
    <row r="235" spans="1:6" ht="12.75">
      <c r="A235" t="s">
        <v>433</v>
      </c>
      <c r="B235" s="12">
        <v>1</v>
      </c>
      <c r="C235" s="12">
        <v>8</v>
      </c>
      <c r="D235" s="12" t="s">
        <v>431</v>
      </c>
      <c r="E235" s="15">
        <v>17300</v>
      </c>
      <c r="F235" s="12" t="s">
        <v>434</v>
      </c>
    </row>
    <row r="236" spans="1:6" ht="12.75">
      <c r="A236" t="s">
        <v>435</v>
      </c>
      <c r="B236" s="12">
        <v>1</v>
      </c>
      <c r="C236" s="12">
        <v>7.5</v>
      </c>
      <c r="D236" s="12" t="s">
        <v>436</v>
      </c>
      <c r="E236" s="15">
        <v>18000</v>
      </c>
      <c r="F236" s="12"/>
    </row>
    <row r="239" ht="12.75">
      <c r="A239" t="s">
        <v>437</v>
      </c>
    </row>
    <row r="240" ht="12.75">
      <c r="A240" t="s">
        <v>119</v>
      </c>
    </row>
    <row r="241" ht="12.75">
      <c r="A241" t="s">
        <v>438</v>
      </c>
    </row>
    <row r="242" ht="12.75">
      <c r="A242" t="s">
        <v>439</v>
      </c>
    </row>
    <row r="243" ht="12.75">
      <c r="A243" t="s">
        <v>440</v>
      </c>
    </row>
    <row r="244" ht="13.5" thickBot="1"/>
    <row r="245" spans="1:6" ht="12.75">
      <c r="A245" s="185" t="s">
        <v>441</v>
      </c>
      <c r="B245" s="186"/>
      <c r="C245" s="107"/>
      <c r="D245" s="107"/>
      <c r="E245" s="107"/>
      <c r="F245" s="187">
        <f>F1</f>
        <v>34824.57030520833</v>
      </c>
    </row>
    <row r="246" spans="1:6" ht="12.75">
      <c r="A246" s="110"/>
      <c r="B246" s="46"/>
      <c r="C246" s="46"/>
      <c r="D246" s="46"/>
      <c r="E246" s="46"/>
      <c r="F246" s="188">
        <f>F2</f>
        <v>34824.57030520833</v>
      </c>
    </row>
    <row r="247" spans="1:6" ht="12.75">
      <c r="A247" s="110" t="str">
        <f>A1</f>
        <v>Vessel =</v>
      </c>
      <c r="B247" s="46" t="str">
        <f>B59</f>
        <v>Guidelines for Chemical Process Quantitative Risk Analysis</v>
      </c>
      <c r="C247" s="46"/>
      <c r="D247" s="46"/>
      <c r="E247" s="46"/>
      <c r="F247" s="111"/>
    </row>
    <row r="248" spans="1:6" ht="12.75">
      <c r="A248" s="110" t="str">
        <f>A2</f>
        <v>Case</v>
      </c>
      <c r="B248" s="46" t="str">
        <f>B1</f>
        <v>Flixborough Reactor</v>
      </c>
      <c r="C248" s="46"/>
      <c r="D248" s="46"/>
      <c r="E248" s="46"/>
      <c r="F248" s="111"/>
    </row>
    <row r="249" spans="1:6" ht="12.75">
      <c r="A249" s="112"/>
      <c r="B249" s="94"/>
      <c r="C249" s="57"/>
      <c r="D249" s="59"/>
      <c r="E249" s="104"/>
      <c r="F249" s="152"/>
    </row>
    <row r="250" spans="1:6" ht="12.75">
      <c r="A250" s="110" t="s">
        <v>442</v>
      </c>
      <c r="B250" s="46"/>
      <c r="C250" s="46"/>
      <c r="D250" s="181">
        <f>B14*2000</f>
        <v>244937.77939041998</v>
      </c>
      <c r="E250" s="124" t="s">
        <v>22</v>
      </c>
      <c r="F250" s="189" t="str">
        <f>B4</f>
        <v>C6H12</v>
      </c>
    </row>
    <row r="251" spans="1:7" ht="12.75">
      <c r="A251" s="110" t="s">
        <v>443</v>
      </c>
      <c r="B251" s="46"/>
      <c r="C251" s="46"/>
      <c r="D251" s="181">
        <f>B65*3.2808</f>
        <v>927.7174026494024</v>
      </c>
      <c r="E251" s="124" t="s">
        <v>148</v>
      </c>
      <c r="F251" s="189">
        <f>B65</f>
        <v>282.77170283144426</v>
      </c>
      <c r="G251" t="s">
        <v>64</v>
      </c>
    </row>
    <row r="252" spans="1:6" ht="12.75">
      <c r="A252" s="110" t="s">
        <v>444</v>
      </c>
      <c r="B252" s="46"/>
      <c r="C252" s="46"/>
      <c r="D252" s="182">
        <f>B66</f>
        <v>17.471425785845103</v>
      </c>
      <c r="E252" s="100" t="s">
        <v>133</v>
      </c>
      <c r="F252" s="114"/>
    </row>
    <row r="253" spans="1:6" ht="12.75">
      <c r="A253" s="110" t="s">
        <v>445</v>
      </c>
      <c r="B253" s="46"/>
      <c r="C253" s="46"/>
      <c r="D253" s="88">
        <f>B70</f>
        <v>0.25411406189268376</v>
      </c>
      <c r="E253" s="46"/>
      <c r="F253" s="114"/>
    </row>
    <row r="254" spans="1:6" ht="12.75">
      <c r="A254" s="110"/>
      <c r="B254" s="46"/>
      <c r="C254" s="46"/>
      <c r="D254" s="98"/>
      <c r="E254" s="46"/>
      <c r="F254" s="111"/>
    </row>
    <row r="255" spans="1:7" ht="12.75">
      <c r="A255" s="110" t="s">
        <v>446</v>
      </c>
      <c r="B255" s="87">
        <v>4</v>
      </c>
      <c r="C255" s="46"/>
      <c r="D255" s="104" t="s">
        <v>447</v>
      </c>
      <c r="E255" s="104" t="s">
        <v>447</v>
      </c>
      <c r="F255" s="114" t="s">
        <v>448</v>
      </c>
      <c r="G255" s="12" t="s">
        <v>448</v>
      </c>
    </row>
    <row r="256" spans="1:7" ht="12.75">
      <c r="A256" s="110"/>
      <c r="B256" s="49"/>
      <c r="C256" s="49"/>
      <c r="D256" s="104" t="s">
        <v>449</v>
      </c>
      <c r="E256" s="104" t="s">
        <v>449</v>
      </c>
      <c r="F256" s="114" t="s">
        <v>450</v>
      </c>
      <c r="G256" s="12" t="s">
        <v>450</v>
      </c>
    </row>
    <row r="257" spans="1:8" ht="12.75">
      <c r="A257" s="110" t="str">
        <f>LOOKUP(B255,H271:H278,A271:A278)</f>
        <v>(4) 2nd Deg Burns = LC01</v>
      </c>
      <c r="B257" s="49" t="s">
        <v>451</v>
      </c>
      <c r="C257" s="49" t="s">
        <v>452</v>
      </c>
      <c r="D257" s="49" t="s">
        <v>453</v>
      </c>
      <c r="E257" s="49" t="s">
        <v>453</v>
      </c>
      <c r="F257" s="114" t="s">
        <v>151</v>
      </c>
      <c r="G257" s="12" t="s">
        <v>151</v>
      </c>
      <c r="H257" t="str">
        <f>A257</f>
        <v>(4) 2nd Deg Burns = LC01</v>
      </c>
    </row>
    <row r="258" spans="1:9" ht="12.75">
      <c r="A258" s="190" t="s">
        <v>454</v>
      </c>
      <c r="B258" s="49" t="s">
        <v>455</v>
      </c>
      <c r="C258" s="49" t="s">
        <v>456</v>
      </c>
      <c r="D258" s="49" t="s">
        <v>148</v>
      </c>
      <c r="E258" s="49" t="s">
        <v>64</v>
      </c>
      <c r="F258" s="114" t="s">
        <v>203</v>
      </c>
      <c r="G258" s="12" t="s">
        <v>457</v>
      </c>
      <c r="H258" s="34">
        <f>B259</f>
        <v>171.98740262512246</v>
      </c>
      <c r="I258">
        <f>A259</f>
        <v>1</v>
      </c>
    </row>
    <row r="259" spans="1:9" ht="12.75">
      <c r="A259" s="191">
        <v>1</v>
      </c>
      <c r="B259" s="55">
        <f>(B260^B266*A260/A259)^(1/B266)</f>
        <v>171.98740262512246</v>
      </c>
      <c r="C259" s="55">
        <f>$B$264+$B$265*LN(B259^$B$266*A259)</f>
        <v>2.66986008481898</v>
      </c>
      <c r="D259" s="102">
        <f>(-$F$285+($F$285^2-4*(4*PI()*A259*B259/$D$253/($B$25*2.325)/($D$250/2.204))*$F$286)^0.5)/2/(4*PI()*A259*B259/$D$253/($B$25*2.325)/($D$250/2.204))*3.2808</f>
        <v>1893.0402600996433</v>
      </c>
      <c r="E259" s="105">
        <f>D259/3.2808</f>
        <v>577.0056876675333</v>
      </c>
      <c r="F259" s="189">
        <f>(E259^2-(F251/2)^2)^0.5</f>
        <v>559.4154132843805</v>
      </c>
      <c r="G259" s="33">
        <f>F259*3.2808</f>
        <v>1835.3300879033957</v>
      </c>
      <c r="H259" s="34">
        <f>B260</f>
        <v>13.417</v>
      </c>
      <c r="I259">
        <f>A260</f>
        <v>30</v>
      </c>
    </row>
    <row r="260" spans="1:9" ht="12.75">
      <c r="A260" s="192">
        <f>LOOKUP(B255,H271:H278,C271:C278)</f>
        <v>30</v>
      </c>
      <c r="B260" s="55">
        <f>LOOKUP(B255,H271:H278,B271:B278)</f>
        <v>13.417</v>
      </c>
      <c r="C260" s="55">
        <f>$B$264+$B$265*LN(B260^$B$266*A260)</f>
        <v>2.6698600848189837</v>
      </c>
      <c r="D260" s="102">
        <f>(-$F$285+($F$285^2-4*(4*PI()*A260*B260/$D$253/($B$25*2.325)/($D$250/2.204))*$F$286)^0.5)/2/(4*PI()*A260*B260/$D$253/($B$25*2.325)/($D$250/2.204))*3.2808</f>
        <v>1295.8376903485967</v>
      </c>
      <c r="E260" s="105">
        <f>D260/3.2808</f>
        <v>394.97613092800435</v>
      </c>
      <c r="F260" s="189"/>
      <c r="H260" s="34">
        <f>B261</f>
        <v>5.438714515351282</v>
      </c>
      <c r="I260">
        <f>A261</f>
        <v>100</v>
      </c>
    </row>
    <row r="261" spans="1:6" ht="12.75">
      <c r="A261" s="192">
        <v>100</v>
      </c>
      <c r="B261" s="55">
        <f>(B260^B266*A260/A261)^(1/B266)</f>
        <v>5.438714515351282</v>
      </c>
      <c r="C261" s="55">
        <f>$B$264+$B$265*LN(B261^$B$266*A261)</f>
        <v>2.6698600848189837</v>
      </c>
      <c r="D261" s="102">
        <f>(-$F$285+($F$285^2-4*(4*PI()*A261*B261/$D$253/($B$25*2.325)/($D$250/2.204))*$F$286)^0.5)/2/(4*PI()*A261*B261/$D$253/($B$25*2.325)/($D$250/2.204))*3.2808</f>
        <v>1128.4656626006904</v>
      </c>
      <c r="E261" s="105">
        <f>D261/3.2808</f>
        <v>343.96051652057133</v>
      </c>
      <c r="F261" s="111"/>
    </row>
    <row r="262" spans="1:7" ht="12.75">
      <c r="A262" s="110"/>
      <c r="B262" s="46"/>
      <c r="C262" s="46"/>
      <c r="D262" s="46"/>
      <c r="E262" s="46"/>
      <c r="F262" s="111"/>
      <c r="G262" t="s">
        <v>458</v>
      </c>
    </row>
    <row r="263" spans="1:6" ht="12.75">
      <c r="A263" s="110" t="s">
        <v>459</v>
      </c>
      <c r="B263" s="46" t="s">
        <v>460</v>
      </c>
      <c r="C263" s="46"/>
      <c r="D263" s="46" t="s">
        <v>461</v>
      </c>
      <c r="E263" s="46"/>
      <c r="F263" s="111"/>
    </row>
    <row r="264" spans="1:6" ht="12.75">
      <c r="A264" s="110" t="s">
        <v>462</v>
      </c>
      <c r="B264" s="46">
        <v>-14.9</v>
      </c>
      <c r="C264" s="46"/>
      <c r="D264" s="46" t="s">
        <v>463</v>
      </c>
      <c r="E264" s="98"/>
      <c r="F264" s="111"/>
    </row>
    <row r="265" spans="1:8" ht="12.75">
      <c r="A265" s="110" t="s">
        <v>464</v>
      </c>
      <c r="B265" s="46">
        <v>2.56</v>
      </c>
      <c r="C265" s="46"/>
      <c r="D265" s="46" t="s">
        <v>465</v>
      </c>
      <c r="E265" s="46"/>
      <c r="F265" s="111"/>
      <c r="H265">
        <f>F284*F288^2/3.2808^2</f>
        <v>0.5828418379780455</v>
      </c>
    </row>
    <row r="266" spans="1:6" ht="12.75">
      <c r="A266" s="110" t="s">
        <v>466</v>
      </c>
      <c r="B266" s="46">
        <v>1.333333</v>
      </c>
      <c r="C266" s="46"/>
      <c r="D266" s="46" t="s">
        <v>467</v>
      </c>
      <c r="E266" s="104">
        <f>D252</f>
        <v>17.471425785845103</v>
      </c>
      <c r="F266" s="111" t="s">
        <v>273</v>
      </c>
    </row>
    <row r="267" spans="1:6" ht="12.75">
      <c r="A267" s="110"/>
      <c r="B267" s="49"/>
      <c r="C267" s="94"/>
      <c r="D267" s="49"/>
      <c r="E267" s="46"/>
      <c r="F267" s="111"/>
    </row>
    <row r="268" spans="1:7" ht="12.75">
      <c r="A268" s="110"/>
      <c r="B268" s="46"/>
      <c r="C268" s="46"/>
      <c r="D268" s="46"/>
      <c r="E268" s="49" t="s">
        <v>468</v>
      </c>
      <c r="F268" s="114" t="s">
        <v>469</v>
      </c>
      <c r="G268" s="12" t="s">
        <v>470</v>
      </c>
    </row>
    <row r="269" spans="1:8" ht="12.75">
      <c r="A269" s="190" t="s">
        <v>471</v>
      </c>
      <c r="B269" s="49" t="s">
        <v>472</v>
      </c>
      <c r="C269" s="49" t="s">
        <v>473</v>
      </c>
      <c r="D269" s="49" t="s">
        <v>452</v>
      </c>
      <c r="E269" s="104" t="s">
        <v>474</v>
      </c>
      <c r="F269" s="114" t="s">
        <v>475</v>
      </c>
      <c r="G269" s="12" t="s">
        <v>476</v>
      </c>
      <c r="H269" s="12" t="s">
        <v>477</v>
      </c>
    </row>
    <row r="270" spans="1:7" ht="12.75">
      <c r="A270" s="132"/>
      <c r="B270" s="49" t="s">
        <v>478</v>
      </c>
      <c r="C270" s="49" t="s">
        <v>479</v>
      </c>
      <c r="D270" s="55" t="s">
        <v>456</v>
      </c>
      <c r="E270" s="49" t="s">
        <v>478</v>
      </c>
      <c r="F270" s="114" t="s">
        <v>148</v>
      </c>
      <c r="G270" s="12" t="s">
        <v>480</v>
      </c>
    </row>
    <row r="271" spans="1:9" ht="12.75">
      <c r="A271" s="132" t="s">
        <v>481</v>
      </c>
      <c r="B271" s="55">
        <v>9.5</v>
      </c>
      <c r="C271" s="104">
        <v>8</v>
      </c>
      <c r="D271" s="55">
        <v>-1.8922</v>
      </c>
      <c r="E271" s="104">
        <f aca="true" t="shared" si="15" ref="E271:E278">(EXP((D271-$B$264)/$B$265)/$D$252)^(1/$B$266)</f>
        <v>5.288074928387895</v>
      </c>
      <c r="F271" s="193">
        <f aca="true" t="shared" si="16" ref="F271:F278">(((-$F$285+($F$285^2-4*(4*PI()*$D$252*E271/$D$253/($B$25*2.325)/($D$250/2.204))*$F$286)^0.5)/2/(4*PI()*$D$252*E271/$D$253/($B$25*2.325)/($D$250/2.204))*3.2808)^2-($D$251/2)^2)^0.5</f>
        <v>2417.1263234070184</v>
      </c>
      <c r="G271" s="22">
        <f aca="true" t="shared" si="17" ref="G271:G278">-$F$285*(((F271^2+($D$251/2)^2)^0.5)/3.2808)-$F$286</f>
        <v>0.5321622602118978</v>
      </c>
      <c r="H271" s="12">
        <v>1</v>
      </c>
      <c r="I271">
        <f aca="true" t="shared" si="18" ref="I271:I278">IF($B$286&gt;D271,H271,"")</f>
        <v>1</v>
      </c>
    </row>
    <row r="272" spans="1:9" ht="12.75">
      <c r="A272" s="132" t="s">
        <v>482</v>
      </c>
      <c r="B272" s="55">
        <v>6.3</v>
      </c>
      <c r="C272" s="104">
        <v>30</v>
      </c>
      <c r="D272" s="55">
        <v>0.0895</v>
      </c>
      <c r="E272" s="104">
        <f t="shared" si="15"/>
        <v>9.450149759835059</v>
      </c>
      <c r="F272" s="193">
        <f t="shared" si="16"/>
        <v>1870.126195623995</v>
      </c>
      <c r="G272" s="22">
        <f t="shared" si="17"/>
        <v>0.5828418379780453</v>
      </c>
      <c r="H272" s="12">
        <v>2</v>
      </c>
      <c r="I272">
        <f t="shared" si="18"/>
        <v>2</v>
      </c>
    </row>
    <row r="273" spans="1:9" ht="12.75">
      <c r="A273" s="132" t="s">
        <v>483</v>
      </c>
      <c r="B273" s="55">
        <v>7.4696</v>
      </c>
      <c r="C273" s="104">
        <v>30</v>
      </c>
      <c r="D273" s="55">
        <v>0.6707</v>
      </c>
      <c r="E273" s="104">
        <f t="shared" si="15"/>
        <v>11.20437210953019</v>
      </c>
      <c r="F273" s="193">
        <f t="shared" si="16"/>
        <v>1728.0613605783287</v>
      </c>
      <c r="G273" s="22">
        <f t="shared" si="17"/>
        <v>0.5958863259430948</v>
      </c>
      <c r="H273" s="12">
        <v>3</v>
      </c>
      <c r="I273">
        <f t="shared" si="18"/>
        <v>3</v>
      </c>
    </row>
    <row r="274" spans="1:9" ht="12.75">
      <c r="A274" s="217" t="s">
        <v>484</v>
      </c>
      <c r="B274" s="88">
        <v>13.417</v>
      </c>
      <c r="C274" s="218">
        <v>30</v>
      </c>
      <c r="D274" s="88">
        <v>2.6699</v>
      </c>
      <c r="E274" s="218">
        <f t="shared" si="15"/>
        <v>20.12589592801303</v>
      </c>
      <c r="F274" s="219">
        <f t="shared" si="16"/>
        <v>1297.5799849539685</v>
      </c>
      <c r="G274" s="22">
        <f t="shared" si="17"/>
        <v>0.6348830018517639</v>
      </c>
      <c r="H274" s="12">
        <v>4</v>
      </c>
      <c r="I274">
        <f t="shared" si="18"/>
      </c>
    </row>
    <row r="275" spans="1:9" ht="12.75">
      <c r="A275" s="194" t="s">
        <v>485</v>
      </c>
      <c r="B275" s="55">
        <v>18.175</v>
      </c>
      <c r="C275" s="104">
        <v>30</v>
      </c>
      <c r="D275" s="55">
        <v>3.7059</v>
      </c>
      <c r="E275" s="104">
        <f t="shared" si="15"/>
        <v>27.262797430782115</v>
      </c>
      <c r="F275" s="193">
        <f t="shared" si="16"/>
        <v>1106.3300663374368</v>
      </c>
      <c r="G275" s="22">
        <f t="shared" si="17"/>
        <v>0.651796508216357</v>
      </c>
      <c r="H275" s="12">
        <v>5</v>
      </c>
      <c r="I275">
        <f t="shared" si="18"/>
      </c>
    </row>
    <row r="276" spans="1:9" ht="12.75">
      <c r="A276" s="194" t="s">
        <v>486</v>
      </c>
      <c r="B276" s="55">
        <v>26.55</v>
      </c>
      <c r="C276" s="104">
        <v>30</v>
      </c>
      <c r="D276" s="55">
        <v>4.9995</v>
      </c>
      <c r="E276" s="104">
        <f t="shared" si="15"/>
        <v>39.825504000702495</v>
      </c>
      <c r="F276" s="193">
        <f t="shared" si="16"/>
        <v>893.1385045284244</v>
      </c>
      <c r="G276" s="22">
        <f t="shared" si="17"/>
        <v>0.6701198802726375</v>
      </c>
      <c r="H276" s="12">
        <v>6</v>
      </c>
      <c r="I276">
        <f t="shared" si="18"/>
      </c>
    </row>
    <row r="277" spans="1:9" ht="12.75">
      <c r="A277" s="194" t="s">
        <v>487</v>
      </c>
      <c r="B277" s="55">
        <v>38.64</v>
      </c>
      <c r="C277" s="104">
        <v>30</v>
      </c>
      <c r="D277" s="55">
        <v>6.2804</v>
      </c>
      <c r="E277" s="104">
        <f t="shared" si="15"/>
        <v>57.96105252486605</v>
      </c>
      <c r="F277" s="193">
        <f t="shared" si="16"/>
        <v>704.8379889925776</v>
      </c>
      <c r="G277" s="22">
        <f t="shared" si="17"/>
        <v>0.6855419177647198</v>
      </c>
      <c r="H277" s="12">
        <v>7</v>
      </c>
      <c r="I277">
        <f t="shared" si="18"/>
      </c>
    </row>
    <row r="278" spans="1:9" ht="12.75">
      <c r="A278" s="132" t="s">
        <v>488</v>
      </c>
      <c r="B278" s="55">
        <v>65.47</v>
      </c>
      <c r="C278" s="104">
        <v>30</v>
      </c>
      <c r="D278" s="55">
        <v>8.0802</v>
      </c>
      <c r="E278" s="104">
        <f t="shared" si="15"/>
        <v>98.20494444564392</v>
      </c>
      <c r="F278" s="193">
        <f t="shared" si="16"/>
        <v>464.6716706900788</v>
      </c>
      <c r="G278" s="22">
        <f t="shared" si="17"/>
        <v>0.7032944184383654</v>
      </c>
      <c r="H278" s="12">
        <v>8</v>
      </c>
      <c r="I278">
        <f t="shared" si="18"/>
      </c>
    </row>
    <row r="279" spans="1:12" ht="12.75">
      <c r="A279" s="132"/>
      <c r="B279" s="55"/>
      <c r="C279" s="104"/>
      <c r="D279" s="55"/>
      <c r="E279" s="104"/>
      <c r="F279" s="193"/>
      <c r="I279">
        <f>MAX(I271:I278)</f>
        <v>3</v>
      </c>
      <c r="J279" t="str">
        <f>IF(I279=0,"",LOOKUP(I279,H271:H278,A271:A278))</f>
        <v>(3) 1st Deg Burns</v>
      </c>
      <c r="L279">
        <f>LOOKUP(I279,H271:H278,D271:D278)</f>
        <v>0.6707</v>
      </c>
    </row>
    <row r="280" spans="1:12" ht="12.75">
      <c r="A280" s="132" t="s">
        <v>489</v>
      </c>
      <c r="B280" s="49" t="str">
        <f>IF(G287=1,"Roberts","CPQRA")</f>
        <v>Roberts</v>
      </c>
      <c r="C280" s="104"/>
      <c r="D280" s="55"/>
      <c r="E280" s="124" t="s">
        <v>145</v>
      </c>
      <c r="F280" s="195" t="s">
        <v>490</v>
      </c>
      <c r="I280">
        <f>I279+1</f>
        <v>4</v>
      </c>
      <c r="J280" t="str">
        <f>IF(I280=9,"",LOOKUP(I280,H271:H278,A271:A278))</f>
        <v>(4) 2nd Deg Burns = LC01</v>
      </c>
      <c r="L280">
        <f>LOOKUP(I280,H271:H278,D271:D278)</f>
        <v>2.6699</v>
      </c>
    </row>
    <row r="281" spans="1:6" ht="12.75">
      <c r="A281" s="110"/>
      <c r="B281" s="46"/>
      <c r="C281" s="46"/>
      <c r="D281" s="46"/>
      <c r="E281" s="94" t="s">
        <v>151</v>
      </c>
      <c r="F281" s="111"/>
    </row>
    <row r="282" spans="1:8" ht="12.75">
      <c r="A282" s="110" t="s">
        <v>491</v>
      </c>
      <c r="B282" s="213">
        <f>F274</f>
        <v>1297.5799849539685</v>
      </c>
      <c r="C282" s="46" t="s">
        <v>492</v>
      </c>
      <c r="D282" s="48">
        <f>B282/3.2808</f>
        <v>395.50718878138514</v>
      </c>
      <c r="E282" s="46" t="s">
        <v>493</v>
      </c>
      <c r="F282" s="111"/>
      <c r="G282" t="s">
        <v>494</v>
      </c>
      <c r="H282" s="36">
        <f>B66</f>
        <v>17.471425785845103</v>
      </c>
    </row>
    <row r="283" spans="1:8" ht="12.75">
      <c r="A283" s="132" t="s">
        <v>495</v>
      </c>
      <c r="B283" s="214">
        <f>D252</f>
        <v>17.471425785845103</v>
      </c>
      <c r="C283" s="46" t="s">
        <v>133</v>
      </c>
      <c r="D283" s="48"/>
      <c r="E283" s="46" t="str">
        <f>A272</f>
        <v>(2) UK Threshold Of Pain</v>
      </c>
      <c r="F283" s="111"/>
      <c r="G283" t="s">
        <v>496</v>
      </c>
      <c r="H283" s="18">
        <f>D253</f>
        <v>0.25411406189268376</v>
      </c>
    </row>
    <row r="284" spans="1:8" ht="12.75">
      <c r="A284" s="110" t="str">
        <f>"Exposure Time at "&amp;INT(B288)&amp;" ft."</f>
        <v>Exposure Time at 1297 ft.</v>
      </c>
      <c r="B284" s="215">
        <f>B283</f>
        <v>17.471425785845103</v>
      </c>
      <c r="C284" s="46" t="s">
        <v>497</v>
      </c>
      <c r="D284" s="49"/>
      <c r="E284" s="46" t="s">
        <v>498</v>
      </c>
      <c r="F284" s="111">
        <f>(4*PI()*$D$252*E272/$D$253/($B$25*2.325)/(D250/2.204))</f>
        <v>1.6898161433779867E-06</v>
      </c>
      <c r="G284" s="20" t="s">
        <v>499</v>
      </c>
      <c r="H284" s="37">
        <f>B25</f>
        <v>18700</v>
      </c>
    </row>
    <row r="285" spans="1:9" ht="12.75">
      <c r="A285" s="110" t="str">
        <f>"Thermal Flux at "&amp;INT(B288)&amp;" ft."</f>
        <v>Thermal Flux at 1297 ft.</v>
      </c>
      <c r="B285" s="214">
        <f>E274</f>
        <v>20.12589592801303</v>
      </c>
      <c r="C285" s="46" t="s">
        <v>478</v>
      </c>
      <c r="D285" s="49"/>
      <c r="E285" s="46" t="s">
        <v>500</v>
      </c>
      <c r="F285" s="111">
        <f>IF(G287=1,-G297,-#REF!)</f>
        <v>0.00031111111111111107</v>
      </c>
      <c r="G285" s="20" t="s">
        <v>501</v>
      </c>
      <c r="H285" s="37">
        <f>B32</f>
        <v>62271.22099585419</v>
      </c>
      <c r="I285" t="s">
        <v>502</v>
      </c>
    </row>
    <row r="286" spans="1:6" ht="12.75">
      <c r="A286" s="110" t="str">
        <f>"Probit Value At "&amp;INT(B288)&amp;" ft. ="</f>
        <v>Probit Value At 1297 ft. =</v>
      </c>
      <c r="B286" s="216">
        <f>B264+B265*LN(B285^B266*B284)</f>
        <v>2.6699</v>
      </c>
      <c r="C286" s="46"/>
      <c r="D286" s="55"/>
      <c r="E286" s="46" t="s">
        <v>503</v>
      </c>
      <c r="F286" s="111">
        <f>IF(G287=1,-H297,-#REF!)</f>
        <v>-0.7655555555555555</v>
      </c>
    </row>
    <row r="287" spans="1:8" ht="12.75">
      <c r="A287" s="110" t="str">
        <f>IF(AND(B286&gt;=2.67,B286&lt;5),"Eisenberg % Fatality =","See Consequence Range Below")</f>
        <v>See Consequence Range Below</v>
      </c>
      <c r="B287" s="124">
        <f>IF(AND(B286&gt;=2.67,B286&lt;5),48.5414-31.2839*B286+3.65763*B286^2+0.533663*B286^3,"")</f>
      </c>
      <c r="C287" s="46"/>
      <c r="D287" s="46"/>
      <c r="E287" s="46" t="s">
        <v>504</v>
      </c>
      <c r="F287" s="111"/>
      <c r="G287" s="13">
        <v>1</v>
      </c>
      <c r="H287" t="s">
        <v>505</v>
      </c>
    </row>
    <row r="288" spans="1:8" ht="12.75">
      <c r="A288" s="110" t="s">
        <v>506</v>
      </c>
      <c r="B288" s="48">
        <f>(((-F285+(F285^2-4*(4*PI()*B284*B285/$D$253/($B$25*2.325)/($D$250/2.204))*F286)^0.5)/2/(4*PI()*B284*B285/$D$253/($B$25*2.325)/($D$250/2.204))*3.2808)^2-(D251/2)^2)^0.5</f>
        <v>1297.5799849539685</v>
      </c>
      <c r="C288" s="46" t="s">
        <v>507</v>
      </c>
      <c r="D288" s="46"/>
      <c r="E288" s="46" t="s">
        <v>508</v>
      </c>
      <c r="F288" s="196">
        <f>(-F285+(F285^2-4*(4*PI()*$D$252*E272/$D$253/($B$25*2.325)/($D$250/2.204))*F286)^0.5)/2/(4*PI()*$D$252*E272/$D$253/($B$25*2.325)/($D$250/2.204))*3.2808</f>
        <v>1926.794457733807</v>
      </c>
      <c r="G288">
        <f>(-F285+(F285^2-4*F284*F286)^0.5)/2/F284*3.2808</f>
        <v>1926.794457733807</v>
      </c>
      <c r="H288">
        <f>(-F285-(F285^2-4*(4*PI()*$D$252*E272/$D$253/($B$25*2.325)/($D$250/2.204))*F286)^0.5)/2/(4*PI()*$D$252*E272/$D$253/($B$25*2.325)/($D$250/2.204))*3.2808</f>
        <v>-2530.820722563388</v>
      </c>
    </row>
    <row r="289" spans="1:10" ht="12.75">
      <c r="A289" s="110" t="s">
        <v>509</v>
      </c>
      <c r="B289" s="183" t="str">
        <f>J279</f>
        <v>(3) 1st Deg Burns</v>
      </c>
      <c r="C289" s="46"/>
      <c r="D289" s="49">
        <f>L279</f>
        <v>0.6707</v>
      </c>
      <c r="E289" s="46" t="s">
        <v>510</v>
      </c>
      <c r="F289" s="196">
        <f>(-F285-(F285^2-4*F284*F286)^0.5)/2/F284*3.2808</f>
        <v>-2530.820722563388</v>
      </c>
      <c r="J289" t="s">
        <v>511</v>
      </c>
    </row>
    <row r="290" spans="1:9" ht="12.75">
      <c r="A290" s="110" t="str">
        <f>"Probit Value At "&amp;INT(B288)&amp;" ft. ="</f>
        <v>Probit Value At 1297 ft. =</v>
      </c>
      <c r="B290" s="184" t="s">
        <v>512</v>
      </c>
      <c r="C290" s="46"/>
      <c r="D290" s="55">
        <f>B286</f>
        <v>2.6699</v>
      </c>
      <c r="E290" s="46"/>
      <c r="F290" s="196"/>
      <c r="G290" s="12" t="s">
        <v>513</v>
      </c>
      <c r="H290" s="12" t="s">
        <v>470</v>
      </c>
      <c r="I290" s="12" t="s">
        <v>514</v>
      </c>
    </row>
    <row r="291" spans="1:12" ht="12.75">
      <c r="A291" s="110" t="s">
        <v>515</v>
      </c>
      <c r="B291" s="183" t="str">
        <f>J280</f>
        <v>(4) 2nd Deg Burns = LC01</v>
      </c>
      <c r="C291" s="46"/>
      <c r="D291" s="49">
        <f>L280</f>
        <v>2.6699</v>
      </c>
      <c r="E291" s="46"/>
      <c r="F291" s="111"/>
      <c r="G291" s="12">
        <v>50</v>
      </c>
      <c r="H291" s="12">
        <v>0.75</v>
      </c>
      <c r="I291" s="12">
        <f>$G$297*G291+$H$297</f>
        <v>0.75</v>
      </c>
      <c r="L291" t="s">
        <v>516</v>
      </c>
    </row>
    <row r="292" spans="1:12" ht="12.75">
      <c r="A292" s="110"/>
      <c r="B292" s="183"/>
      <c r="C292" s="46"/>
      <c r="D292" s="46"/>
      <c r="E292" s="46"/>
      <c r="F292" s="111"/>
      <c r="G292" s="12">
        <v>500</v>
      </c>
      <c r="H292" s="12">
        <v>0.61</v>
      </c>
      <c r="I292" s="12">
        <f>$G$297*G292+$H$297</f>
        <v>0.61</v>
      </c>
      <c r="L292" t="s">
        <v>153</v>
      </c>
    </row>
    <row r="293" spans="1:8" ht="12.75">
      <c r="A293" s="110"/>
      <c r="B293" s="46"/>
      <c r="C293" s="46"/>
      <c r="D293" s="46"/>
      <c r="E293" s="46"/>
      <c r="F293" s="111"/>
      <c r="G293" t="s">
        <v>517</v>
      </c>
      <c r="H293" s="12"/>
    </row>
    <row r="294" spans="1:8" ht="12.75">
      <c r="A294" s="110" t="s">
        <v>518</v>
      </c>
      <c r="B294" s="46"/>
      <c r="C294" s="46"/>
      <c r="D294" s="46"/>
      <c r="E294" s="46"/>
      <c r="F294" s="111"/>
      <c r="G294" t="s">
        <v>519</v>
      </c>
      <c r="H294" s="12"/>
    </row>
    <row r="295" spans="1:13" ht="12.75">
      <c r="A295" s="110" t="s">
        <v>520</v>
      </c>
      <c r="B295" s="46"/>
      <c r="C295" s="46"/>
      <c r="D295" s="46"/>
      <c r="E295" s="46"/>
      <c r="F295" s="111"/>
      <c r="G295" s="34"/>
      <c r="H295" s="22"/>
      <c r="J295" t="s">
        <v>521</v>
      </c>
      <c r="K295" s="7" t="s">
        <v>522</v>
      </c>
      <c r="L295" s="12" t="s">
        <v>523</v>
      </c>
      <c r="M295" t="s">
        <v>524</v>
      </c>
    </row>
    <row r="296" spans="1:10" ht="13.5" thickBot="1">
      <c r="A296" s="145" t="s">
        <v>525</v>
      </c>
      <c r="B296" s="118"/>
      <c r="C296" s="118"/>
      <c r="D296" s="118"/>
      <c r="E296" s="118"/>
      <c r="F296" s="119"/>
      <c r="G296" t="s">
        <v>526</v>
      </c>
      <c r="H296" t="s">
        <v>527</v>
      </c>
      <c r="J296" t="s">
        <v>528</v>
      </c>
    </row>
    <row r="297" spans="7:12" ht="12.75">
      <c r="G297" s="39">
        <f aca="true" t="array" ref="G297:H297">LINEST(H291:H292,G291:G292)</f>
        <v>-0.00031111111111111107</v>
      </c>
      <c r="H297" s="40">
        <v>0.7655555555555555</v>
      </c>
      <c r="I297" s="20" t="s">
        <v>529</v>
      </c>
      <c r="J297" s="36">
        <f>B65/2</f>
        <v>141.38585141572213</v>
      </c>
      <c r="K297" t="s">
        <v>530</v>
      </c>
      <c r="L297" t="s">
        <v>151</v>
      </c>
    </row>
    <row r="298" ht="12.75">
      <c r="G298" s="2"/>
    </row>
    <row r="299" spans="1:9" ht="12.75">
      <c r="A299" s="7" t="s">
        <v>531</v>
      </c>
      <c r="B299" s="19"/>
      <c r="C299" s="2"/>
      <c r="E299" s="14"/>
      <c r="G299" s="35"/>
      <c r="I299" t="s">
        <v>532</v>
      </c>
    </row>
    <row r="300" spans="1:16" ht="12.75">
      <c r="A300" s="7"/>
      <c r="B300" s="11" t="s">
        <v>533</v>
      </c>
      <c r="C300" s="2"/>
      <c r="D300" t="s">
        <v>534</v>
      </c>
      <c r="E300" s="14"/>
      <c r="F300" s="11" t="s">
        <v>535</v>
      </c>
      <c r="G300" s="30"/>
      <c r="O300" s="12" t="s">
        <v>536</v>
      </c>
      <c r="P300" s="12" t="s">
        <v>537</v>
      </c>
    </row>
    <row r="301" spans="1:16" ht="12.75">
      <c r="A301" s="7"/>
      <c r="B301" s="32">
        <v>1000</v>
      </c>
      <c r="C301" s="30">
        <v>0.75</v>
      </c>
      <c r="D301">
        <v>1000</v>
      </c>
      <c r="E301" s="24">
        <v>0.4</v>
      </c>
      <c r="F301" s="32">
        <v>1000</v>
      </c>
      <c r="G301" s="35">
        <v>0.23761530107785617</v>
      </c>
      <c r="I301" t="s">
        <v>538</v>
      </c>
      <c r="J301" t="s">
        <v>539</v>
      </c>
      <c r="K301" s="12" t="s">
        <v>540</v>
      </c>
      <c r="L301" s="12" t="s">
        <v>541</v>
      </c>
      <c r="M301" s="12" t="s">
        <v>542</v>
      </c>
      <c r="N301" s="12" t="s">
        <v>541</v>
      </c>
      <c r="O301" s="12" t="s">
        <v>543</v>
      </c>
      <c r="P301" s="12" t="s">
        <v>543</v>
      </c>
    </row>
    <row r="302" spans="1:16" ht="12.75">
      <c r="A302" s="20"/>
      <c r="B302" s="33">
        <v>25</v>
      </c>
      <c r="C302" s="30">
        <v>100</v>
      </c>
      <c r="D302">
        <v>15</v>
      </c>
      <c r="E302" s="24">
        <v>100</v>
      </c>
      <c r="F302" s="22">
        <v>10.762306803501271</v>
      </c>
      <c r="G302" s="30">
        <v>100</v>
      </c>
      <c r="I302" s="12">
        <v>50</v>
      </c>
      <c r="J302" s="41">
        <f aca="true" t="shared" si="19" ref="J302:J311">$B$65^2/4/((I302^2+$B$67^2)^0.5)^2</f>
        <v>0.8888392814694672</v>
      </c>
      <c r="K302" s="33">
        <f aca="true" t="shared" si="20" ref="K302:K311">($B$67^2+I302^2)^0.5-0.5*$B$65</f>
        <v>8.580674784455795</v>
      </c>
      <c r="L302" s="22">
        <f aca="true" t="shared" si="21" ref="L302:L311">2.02*($D$77*K302)^-0.09</f>
        <v>0.8374009537526877</v>
      </c>
      <c r="M302" s="33">
        <f aca="true" t="shared" si="22" ref="M302:M311">(I302^2+($B$65/2)^2)^0.5</f>
        <v>149.96652620017792</v>
      </c>
      <c r="N302" s="60">
        <f aca="true" t="shared" si="23" ref="N302:N311">L302</f>
        <v>0.8374009537526877</v>
      </c>
      <c r="O302" s="60">
        <f>M302*$J$316+$K$316</f>
        <v>0.7188303033530665</v>
      </c>
      <c r="P302" s="60">
        <f aca="true" t="shared" si="24" ref="P302:P311">M302*$G$297+$H$297</f>
        <v>0.7188993029599446</v>
      </c>
    </row>
    <row r="303" spans="1:16" ht="12.75">
      <c r="A303" s="20"/>
      <c r="B303" s="32" t="s">
        <v>544</v>
      </c>
      <c r="C303" s="1"/>
      <c r="D303" t="s">
        <v>545</v>
      </c>
      <c r="E303" s="32"/>
      <c r="I303" s="12">
        <f aca="true" t="shared" si="25" ref="I303:I311">I302+50</f>
        <v>100</v>
      </c>
      <c r="J303" s="41">
        <f t="shared" si="19"/>
        <v>0.6665550624298636</v>
      </c>
      <c r="K303" s="33">
        <f t="shared" si="20"/>
        <v>31.79024098894166</v>
      </c>
      <c r="L303" s="22">
        <f t="shared" si="21"/>
        <v>0.7442930045505566</v>
      </c>
      <c r="M303" s="33">
        <f t="shared" si="22"/>
        <v>173.1760924046638</v>
      </c>
      <c r="N303" s="60">
        <f t="shared" si="23"/>
        <v>0.7442930045505566</v>
      </c>
      <c r="O303" s="60">
        <f aca="true" t="shared" si="26" ref="O303:O311">M303*$J$316+$K$316</f>
        <v>0.709967495851733</v>
      </c>
      <c r="P303" s="60">
        <f t="shared" si="24"/>
        <v>0.7116785490296601</v>
      </c>
    </row>
    <row r="304" spans="1:16" ht="12.75">
      <c r="A304" s="20"/>
      <c r="B304" s="32">
        <v>967.15</v>
      </c>
      <c r="C304" s="30">
        <v>0.13</v>
      </c>
      <c r="D304">
        <v>538.44</v>
      </c>
      <c r="E304" s="24">
        <v>0.1</v>
      </c>
      <c r="I304" s="12">
        <f t="shared" si="25"/>
        <v>150</v>
      </c>
      <c r="J304" s="41">
        <f t="shared" si="19"/>
        <v>0.4704631272931987</v>
      </c>
      <c r="K304" s="33">
        <f t="shared" si="20"/>
        <v>64.74507537729613</v>
      </c>
      <c r="L304" s="22">
        <f t="shared" si="21"/>
        <v>0.6981387986083797</v>
      </c>
      <c r="M304" s="33">
        <f t="shared" si="22"/>
        <v>206.13092679301826</v>
      </c>
      <c r="N304" s="60">
        <f t="shared" si="23"/>
        <v>0.6981387986083797</v>
      </c>
      <c r="O304" s="60">
        <f t="shared" si="26"/>
        <v>0.6973833591708043</v>
      </c>
      <c r="P304" s="60">
        <f t="shared" si="24"/>
        <v>0.7014259338866166</v>
      </c>
    </row>
    <row r="305" spans="1:16" ht="12.75">
      <c r="A305" s="20"/>
      <c r="B305" s="33">
        <v>5.4387</v>
      </c>
      <c r="C305" s="30">
        <v>100</v>
      </c>
      <c r="D305">
        <v>3.0279</v>
      </c>
      <c r="E305" s="24">
        <v>100</v>
      </c>
      <c r="I305" s="12">
        <f t="shared" si="25"/>
        <v>200</v>
      </c>
      <c r="J305" s="41">
        <f t="shared" si="19"/>
        <v>0.3332217477766615</v>
      </c>
      <c r="K305" s="33">
        <f t="shared" si="20"/>
        <v>103.54262585988715</v>
      </c>
      <c r="L305" s="22">
        <f t="shared" si="21"/>
        <v>0.6692519654204119</v>
      </c>
      <c r="M305" s="33">
        <f t="shared" si="22"/>
        <v>244.92847727560928</v>
      </c>
      <c r="N305" s="60">
        <f t="shared" si="23"/>
        <v>0.6692519654204119</v>
      </c>
      <c r="O305" s="60">
        <f t="shared" si="26"/>
        <v>0.682568122280077</v>
      </c>
      <c r="P305" s="60">
        <f t="shared" si="24"/>
        <v>0.6893555848475882</v>
      </c>
    </row>
    <row r="306" spans="1:16" ht="12.75">
      <c r="A306" s="20"/>
      <c r="B306" s="29"/>
      <c r="C306" s="2"/>
      <c r="D306" t="s">
        <v>546</v>
      </c>
      <c r="E306" s="14"/>
      <c r="I306" s="12">
        <f t="shared" si="25"/>
        <v>250</v>
      </c>
      <c r="J306" s="41">
        <f t="shared" si="19"/>
        <v>0.24233202716541943</v>
      </c>
      <c r="K306" s="33">
        <f t="shared" si="20"/>
        <v>145.82480120800744</v>
      </c>
      <c r="L306" s="22">
        <f t="shared" si="21"/>
        <v>0.6489415109093367</v>
      </c>
      <c r="M306" s="33">
        <f t="shared" si="22"/>
        <v>287.2106526237296</v>
      </c>
      <c r="N306" s="60">
        <f t="shared" si="23"/>
        <v>0.6489415109093367</v>
      </c>
      <c r="O306" s="60">
        <f t="shared" si="26"/>
        <v>0.666422246155275</v>
      </c>
      <c r="P306" s="60">
        <f t="shared" si="24"/>
        <v>0.6762011302948396</v>
      </c>
    </row>
    <row r="307" spans="1:16" ht="12.75">
      <c r="A307" s="20"/>
      <c r="B307" s="32"/>
      <c r="C307" s="30"/>
      <c r="D307">
        <v>254.12</v>
      </c>
      <c r="E307" s="24">
        <v>0.1</v>
      </c>
      <c r="I307" s="12">
        <f t="shared" si="25"/>
        <v>300</v>
      </c>
      <c r="J307" s="41">
        <f t="shared" si="19"/>
        <v>0.18174348973149274</v>
      </c>
      <c r="K307" s="33">
        <f t="shared" si="20"/>
        <v>190.2614898679804</v>
      </c>
      <c r="L307" s="22">
        <f t="shared" si="21"/>
        <v>0.6335907096957484</v>
      </c>
      <c r="M307" s="33">
        <f t="shared" si="22"/>
        <v>331.64734128370253</v>
      </c>
      <c r="N307" s="60">
        <f t="shared" si="23"/>
        <v>0.6335907096957484</v>
      </c>
      <c r="O307" s="60">
        <f t="shared" si="26"/>
        <v>0.6494536473404504</v>
      </c>
      <c r="P307" s="60">
        <f t="shared" si="24"/>
        <v>0.662376382711737</v>
      </c>
    </row>
    <row r="308" spans="1:16" ht="12.75">
      <c r="A308" s="20"/>
      <c r="B308" s="24"/>
      <c r="C308" s="30"/>
      <c r="D308">
        <v>1.429</v>
      </c>
      <c r="E308" s="24">
        <v>100</v>
      </c>
      <c r="I308" s="12">
        <f t="shared" si="25"/>
        <v>350</v>
      </c>
      <c r="J308" s="41">
        <f t="shared" si="19"/>
        <v>0.1402902992152415</v>
      </c>
      <c r="K308" s="33">
        <f t="shared" si="20"/>
        <v>236.09257045836148</v>
      </c>
      <c r="L308" s="22">
        <f t="shared" si="21"/>
        <v>0.6214024656218974</v>
      </c>
      <c r="M308" s="33">
        <f t="shared" si="22"/>
        <v>377.4784218740836</v>
      </c>
      <c r="N308" s="60">
        <f t="shared" si="23"/>
        <v>0.6214024656218974</v>
      </c>
      <c r="O308" s="60">
        <f t="shared" si="26"/>
        <v>0.6319525858698511</v>
      </c>
      <c r="P308" s="60">
        <f t="shared" si="24"/>
        <v>0.6481178243058406</v>
      </c>
    </row>
    <row r="309" spans="1:16" ht="12.75">
      <c r="A309" s="20"/>
      <c r="B309" s="169" t="s">
        <v>730</v>
      </c>
      <c r="C309" s="170"/>
      <c r="D309" s="175" t="s">
        <v>547</v>
      </c>
      <c r="E309" s="176"/>
      <c r="I309" s="12">
        <f t="shared" si="25"/>
        <v>400</v>
      </c>
      <c r="J309" s="41">
        <f t="shared" si="19"/>
        <v>0.11106152306367797</v>
      </c>
      <c r="K309" s="33">
        <f t="shared" si="20"/>
        <v>282.8663836762673</v>
      </c>
      <c r="L309" s="22">
        <f t="shared" si="21"/>
        <v>0.6113755415780678</v>
      </c>
      <c r="M309" s="33">
        <f t="shared" si="22"/>
        <v>424.2522350919894</v>
      </c>
      <c r="N309" s="60">
        <f t="shared" si="23"/>
        <v>0.6113755415780678</v>
      </c>
      <c r="O309" s="60">
        <f t="shared" si="26"/>
        <v>0.6140915324145086</v>
      </c>
      <c r="P309" s="60">
        <f t="shared" si="24"/>
        <v>0.6335659713047144</v>
      </c>
    </row>
    <row r="310" spans="1:16" ht="12.75">
      <c r="A310" s="20"/>
      <c r="B310" s="171">
        <f>B80</f>
        <v>39.82550408915987</v>
      </c>
      <c r="C310" s="173">
        <f>B66</f>
        <v>17.471425785845103</v>
      </c>
      <c r="D310" s="179">
        <f>B285</f>
        <v>20.12589592801303</v>
      </c>
      <c r="E310" s="177">
        <f>B284</f>
        <v>17.471425785845103</v>
      </c>
      <c r="I310" s="12">
        <f t="shared" si="25"/>
        <v>450</v>
      </c>
      <c r="J310" s="41">
        <f t="shared" si="19"/>
        <v>0.08984656688392977</v>
      </c>
      <c r="K310" s="33">
        <f t="shared" si="20"/>
        <v>330.30256160769386</v>
      </c>
      <c r="L310" s="22">
        <f t="shared" si="21"/>
        <v>0.6029041957348213</v>
      </c>
      <c r="M310" s="33">
        <f t="shared" si="22"/>
        <v>471.688413023416</v>
      </c>
      <c r="N310" s="60">
        <f t="shared" si="23"/>
        <v>0.6029041957348213</v>
      </c>
      <c r="O310" s="60">
        <f t="shared" si="26"/>
        <v>0.5959775482968743</v>
      </c>
      <c r="P310" s="60">
        <f t="shared" si="24"/>
        <v>0.6188080492816039</v>
      </c>
    </row>
    <row r="311" spans="1:16" ht="12.75">
      <c r="A311" s="20"/>
      <c r="B311" s="172">
        <f>B80</f>
        <v>39.82550408915987</v>
      </c>
      <c r="C311" s="174">
        <f>C310</f>
        <v>17.471425785845103</v>
      </c>
      <c r="D311" s="180">
        <f>D310</f>
        <v>20.12589592801303</v>
      </c>
      <c r="E311" s="178">
        <f>E310</f>
        <v>17.471425785845103</v>
      </c>
      <c r="F311" s="2"/>
      <c r="I311" s="12">
        <f t="shared" si="25"/>
        <v>500</v>
      </c>
      <c r="J311" s="41">
        <f t="shared" si="19"/>
        <v>0.0740396385703693</v>
      </c>
      <c r="K311" s="33">
        <f t="shared" si="20"/>
        <v>378.2197287896377</v>
      </c>
      <c r="L311" s="22">
        <f t="shared" si="21"/>
        <v>0.5955982388315368</v>
      </c>
      <c r="M311" s="33">
        <f t="shared" si="22"/>
        <v>519.6055802053598</v>
      </c>
      <c r="N311" s="60">
        <f t="shared" si="23"/>
        <v>0.5955982388315368</v>
      </c>
      <c r="O311" s="60">
        <f t="shared" si="26"/>
        <v>0.5776798935711818</v>
      </c>
      <c r="P311" s="60">
        <f t="shared" si="24"/>
        <v>0.6039004861583325</v>
      </c>
    </row>
    <row r="312" spans="5:7" ht="12.75">
      <c r="E312" s="32"/>
      <c r="F312" s="35"/>
      <c r="G312" s="26"/>
    </row>
    <row r="313" spans="5:7" ht="12.75">
      <c r="E313" s="22"/>
      <c r="F313" s="30"/>
      <c r="G313" s="25"/>
    </row>
    <row r="314" spans="2:11" ht="12.75">
      <c r="B314" s="28"/>
      <c r="E314" s="21"/>
      <c r="F314" s="27"/>
      <c r="G314" s="26"/>
      <c r="I314" t="s">
        <v>548</v>
      </c>
      <c r="J314" s="39">
        <f aca="true" t="array" ref="J314:K314">LINEST(L303:L311,I303:I311)</f>
        <v>-0.0003412582548229572</v>
      </c>
      <c r="K314" s="40">
        <v>0.7496548576636377</v>
      </c>
    </row>
    <row r="315" spans="1:8" ht="12.75">
      <c r="A315" s="42"/>
      <c r="B315" s="43"/>
      <c r="C315" s="43"/>
      <c r="D315" s="43"/>
      <c r="E315" s="43"/>
      <c r="F315" s="43"/>
      <c r="G315" s="43"/>
      <c r="H315" s="44"/>
    </row>
    <row r="316" spans="8:12" ht="12.75">
      <c r="H316" s="20" t="s">
        <v>536</v>
      </c>
      <c r="I316" t="s">
        <v>828</v>
      </c>
      <c r="J316" s="39">
        <f aca="true" t="array" ref="J316:K316">LINEST(L303:L311,M303:M311)</f>
        <v>-0.0003818601098895411</v>
      </c>
      <c r="K316" s="40">
        <v>0.7760965375276192</v>
      </c>
      <c r="L316" t="s">
        <v>829</v>
      </c>
    </row>
    <row r="317" ht="12.75">
      <c r="A317" t="s">
        <v>551</v>
      </c>
    </row>
    <row r="319" spans="1:2" ht="12.75">
      <c r="A319" t="str">
        <f>A1</f>
        <v>Vessel =</v>
      </c>
      <c r="B319" t="s">
        <v>1</v>
      </c>
    </row>
    <row r="320" spans="1:2" ht="12.75">
      <c r="A320" t="str">
        <f>A2</f>
        <v>Case</v>
      </c>
      <c r="B320" t="s">
        <v>552</v>
      </c>
    </row>
    <row r="322" ht="12.75">
      <c r="A322" t="s">
        <v>553</v>
      </c>
    </row>
    <row r="324" spans="1:3" ht="12.75">
      <c r="A324" t="str">
        <f aca="true" t="shared" si="27" ref="A324:A346">A4</f>
        <v>Chemical Stored</v>
      </c>
      <c r="B324" s="12" t="s">
        <v>5</v>
      </c>
      <c r="C324" t="s">
        <v>554</v>
      </c>
    </row>
    <row r="325" spans="1:3" ht="12.75">
      <c r="A325" t="str">
        <f t="shared" si="27"/>
        <v>Vessel Volume, cf =</v>
      </c>
      <c r="B325" s="15">
        <v>8500</v>
      </c>
      <c r="C325" t="str">
        <f aca="true" t="shared" si="28" ref="C325:C332">C5</f>
        <v>5 Reactors</v>
      </c>
    </row>
    <row r="326" spans="1:4" ht="12.75">
      <c r="A326" t="str">
        <f t="shared" si="27"/>
        <v>Liquid Storage Volume, cf =</v>
      </c>
      <c r="B326" s="15">
        <v>6378.4130208333345</v>
      </c>
      <c r="C326" t="str">
        <f t="shared" si="28"/>
        <v>% Full =</v>
      </c>
      <c r="D326" s="6">
        <f>B326/B325</f>
        <v>0.7504015318627453</v>
      </c>
    </row>
    <row r="327" spans="1:3" ht="12.75">
      <c r="A327" t="str">
        <f t="shared" si="27"/>
        <v>Vessel Surface Area</v>
      </c>
      <c r="B327" s="15">
        <v>2325</v>
      </c>
      <c r="C327" t="str">
        <f t="shared" si="28"/>
        <v>sf</v>
      </c>
    </row>
    <row r="328" spans="1:3" ht="12.75">
      <c r="A328" t="str">
        <f t="shared" si="27"/>
        <v>Vessel Shell Thickness =</v>
      </c>
      <c r="B328" s="12">
        <v>1</v>
      </c>
      <c r="C328" t="str">
        <f t="shared" si="28"/>
        <v>inches</v>
      </c>
    </row>
    <row r="329" spans="1:3" ht="12.75">
      <c r="A329" t="str">
        <f t="shared" si="27"/>
        <v>Wt Of Vessel =</v>
      </c>
      <c r="B329" s="15">
        <v>85000</v>
      </c>
      <c r="C329" t="str">
        <f t="shared" si="28"/>
        <v>lbs</v>
      </c>
    </row>
    <row r="330" spans="1:6" ht="12.75">
      <c r="A330" t="str">
        <f t="shared" si="27"/>
        <v>Vessel Design Pressure, psig =</v>
      </c>
      <c r="B330" s="12">
        <v>100</v>
      </c>
      <c r="C330" t="str">
        <f t="shared" si="28"/>
        <v>PSV Fire Flow Pressure = </v>
      </c>
      <c r="E330" s="12">
        <f>E10</f>
        <v>121</v>
      </c>
      <c r="F330" t="str">
        <f>F10</f>
        <v>psig</v>
      </c>
    </row>
    <row r="331" spans="1:3" ht="12.75">
      <c r="A331" t="str">
        <f t="shared" si="27"/>
        <v>Vessel Failure Pressure, psig = </v>
      </c>
      <c r="B331" s="12">
        <v>120</v>
      </c>
      <c r="C331" t="str">
        <f t="shared" si="28"/>
        <v>20" Line Rupture at Opg Press</v>
      </c>
    </row>
    <row r="332" spans="1:3" ht="12.75">
      <c r="A332" t="str">
        <f t="shared" si="27"/>
        <v>Liquid Temp at Failure Pressure =</v>
      </c>
      <c r="B332" s="12">
        <v>200</v>
      </c>
      <c r="C332" t="str">
        <f t="shared" si="28"/>
        <v>°F</v>
      </c>
    </row>
    <row r="333" spans="1:2" ht="12.75">
      <c r="A333" t="str">
        <f t="shared" si="27"/>
        <v>Molecular Weight</v>
      </c>
      <c r="B333" s="12">
        <v>84</v>
      </c>
    </row>
    <row r="334" spans="1:4" ht="12.75">
      <c r="A334" t="str">
        <f t="shared" si="27"/>
        <v>Quantity Material =</v>
      </c>
      <c r="B334" s="12">
        <v>122.46888969521</v>
      </c>
      <c r="C334" t="str">
        <f>C14</f>
        <v>Tons</v>
      </c>
      <c r="D334" t="s">
        <v>555</v>
      </c>
    </row>
    <row r="335" spans="1:3" ht="12.75">
      <c r="A335" t="str">
        <f t="shared" si="27"/>
        <v>Liquid Density =</v>
      </c>
      <c r="B335" s="12">
        <v>38.4</v>
      </c>
      <c r="C335" t="str">
        <f>C15</f>
        <v>lb/cf</v>
      </c>
    </row>
    <row r="336" spans="1:3" ht="12.75">
      <c r="A336" t="str">
        <f t="shared" si="27"/>
        <v>Ambient Temperature, Ta =</v>
      </c>
      <c r="B336" s="12">
        <v>70</v>
      </c>
      <c r="C336" t="str">
        <f>C16</f>
        <v>°F</v>
      </c>
    </row>
    <row r="337" spans="1:3" ht="12.75">
      <c r="A337" t="str">
        <f t="shared" si="27"/>
        <v>Atmospheric Pressure, =</v>
      </c>
      <c r="B337" s="12">
        <v>14.7</v>
      </c>
      <c r="C337" t="str">
        <f>C17</f>
        <v>psia</v>
      </c>
    </row>
    <row r="338" spans="1:2" ht="12.75">
      <c r="A338" t="str">
        <f t="shared" si="27"/>
        <v>Relative Humidity =</v>
      </c>
      <c r="B338" s="19">
        <v>0.836</v>
      </c>
    </row>
    <row r="339" spans="1:3" ht="12.75">
      <c r="A339" t="str">
        <f t="shared" si="27"/>
        <v>Flow Temperature, T =</v>
      </c>
      <c r="B339" s="12">
        <v>283</v>
      </c>
      <c r="C339" t="str">
        <f>C19</f>
        <v>deg F</v>
      </c>
    </row>
    <row r="340" spans="1:3" ht="12.75">
      <c r="A340" t="str">
        <f t="shared" si="27"/>
        <v>Atmospheric Boiling Pt., Tb =</v>
      </c>
      <c r="B340" s="12">
        <v>177</v>
      </c>
      <c r="C340" t="str">
        <f>C20</f>
        <v>deg F</v>
      </c>
    </row>
    <row r="341" spans="1:3" ht="12.75">
      <c r="A341" t="str">
        <f t="shared" si="27"/>
        <v>Avg Liq Cp Between Amb &amp; Stg Temp</v>
      </c>
      <c r="B341" s="12">
        <v>0.52</v>
      </c>
      <c r="C341" t="str">
        <f>C21</f>
        <v>BTU/lb/F</v>
      </c>
    </row>
    <row r="342" spans="1:5" ht="12.75">
      <c r="A342" t="str">
        <f t="shared" si="27"/>
        <v>Latent Heat at Atm Boiling Point =</v>
      </c>
      <c r="B342" s="12">
        <v>153.1</v>
      </c>
      <c r="C342" t="str">
        <f>C22</f>
        <v>BTU/lb</v>
      </c>
      <c r="E342" t="s">
        <v>556</v>
      </c>
    </row>
    <row r="343" spans="1:2" ht="12.75">
      <c r="A343" t="str">
        <f t="shared" si="27"/>
        <v>Lower Flammable Limit</v>
      </c>
      <c r="B343" s="19">
        <v>0.012</v>
      </c>
    </row>
    <row r="344" spans="1:2" ht="12.75">
      <c r="A344" t="str">
        <f t="shared" si="27"/>
        <v>Upper Flammable Limit</v>
      </c>
      <c r="B344" s="19">
        <v>0.08</v>
      </c>
    </row>
    <row r="345" spans="1:3" ht="12.75">
      <c r="A345" t="str">
        <f t="shared" si="27"/>
        <v>Heat Of Combustion =</v>
      </c>
      <c r="B345" s="15">
        <v>18700</v>
      </c>
      <c r="C345" t="str">
        <f>C25</f>
        <v>BTU/lb</v>
      </c>
    </row>
    <row r="346" spans="1:3" ht="12.75">
      <c r="A346" t="str">
        <f t="shared" si="27"/>
        <v>Mols O2/Mols HC On Combustion =</v>
      </c>
      <c r="B346" s="12">
        <v>9</v>
      </c>
      <c r="C346" t="str">
        <f>C26</f>
        <v> = (n+m/4) in CnHm Hydrocarbon, eg in C2H4 =(2+4/4) = 3</v>
      </c>
    </row>
    <row r="348" ht="12.75">
      <c r="F348" t="s">
        <v>557</v>
      </c>
    </row>
    <row r="349" ht="12.75">
      <c r="A349" t="s">
        <v>558</v>
      </c>
    </row>
    <row r="351" spans="1:2" ht="12.75">
      <c r="A351" s="20" t="s">
        <v>124</v>
      </c>
      <c r="B351" t="s">
        <v>559</v>
      </c>
    </row>
    <row r="353" spans="1:2" ht="12.75">
      <c r="A353" s="20" t="s">
        <v>124</v>
      </c>
      <c r="B353" t="str">
        <f>"( "&amp;B341&amp;" )("&amp;B339&amp;" - "&amp;B340&amp;" ) / ( "&amp;B342&amp;" )"</f>
        <v>( 0.52 )(283 - 177 ) / ( 153.1 )</v>
      </c>
    </row>
    <row r="355" spans="1:2" ht="12.75">
      <c r="A355" s="20" t="s">
        <v>124</v>
      </c>
      <c r="B355" s="19">
        <f>B341*(B339-B340)/B342</f>
        <v>0.3600261267145657</v>
      </c>
    </row>
    <row r="357" spans="1:2" ht="12.75">
      <c r="A357" s="20" t="s">
        <v>560</v>
      </c>
      <c r="B357" t="s">
        <v>561</v>
      </c>
    </row>
    <row r="359" spans="1:3" ht="12.75">
      <c r="A359" s="20" t="s">
        <v>560</v>
      </c>
      <c r="B359" s="20" t="str">
        <f>"( "&amp;INT(B334)&amp;" )*"</f>
        <v>( 122 )*</v>
      </c>
      <c r="C359" s="36">
        <f>B355</f>
        <v>0.3600261267145657</v>
      </c>
    </row>
    <row r="361" spans="1:5" ht="12.75">
      <c r="A361" s="20" t="s">
        <v>560</v>
      </c>
      <c r="B361" s="33">
        <f>B355*B334</f>
        <v>44.09199999999984</v>
      </c>
      <c r="C361" t="s">
        <v>34</v>
      </c>
      <c r="D361" s="15">
        <f>B361*2000</f>
        <v>88183.99999999968</v>
      </c>
      <c r="E361" t="s">
        <v>22</v>
      </c>
    </row>
    <row r="364" ht="12.75">
      <c r="A364" t="s">
        <v>562</v>
      </c>
    </row>
    <row r="366" spans="1:5" ht="12.75">
      <c r="A366" t="str">
        <f>A121</f>
        <v>Based on vapor lost to atm of</v>
      </c>
      <c r="B366" s="33">
        <f>B361</f>
        <v>44.09199999999984</v>
      </c>
      <c r="C366" t="str">
        <f>C361</f>
        <v>Tons</v>
      </c>
      <c r="D366" s="15">
        <f>D361</f>
        <v>88183.99999999968</v>
      </c>
      <c r="E366" t="str">
        <f>E361</f>
        <v>lbs</v>
      </c>
    </row>
    <row r="369" spans="1:5" ht="12.75">
      <c r="A369" t="s">
        <v>563</v>
      </c>
      <c r="B369" s="13" t="str">
        <f>B124</f>
        <v>C6H12</v>
      </c>
      <c r="C369" s="13" t="str">
        <f>C124</f>
        <v>9 O2    &gt;&gt;&gt;</v>
      </c>
      <c r="D369" s="13" t="str">
        <f>D124</f>
        <v>6 CO2</v>
      </c>
      <c r="E369" s="13" t="str">
        <f>E124</f>
        <v>6 H20</v>
      </c>
    </row>
    <row r="370" spans="2:5" ht="12.75">
      <c r="B370" s="13"/>
      <c r="C370" s="13"/>
      <c r="D370" s="13"/>
      <c r="E370" s="13"/>
    </row>
    <row r="371" spans="1:2" ht="12.75">
      <c r="A371" t="s">
        <v>564</v>
      </c>
      <c r="B371" s="12">
        <v>1</v>
      </c>
    </row>
    <row r="372" spans="1:6" ht="12.75">
      <c r="A372" t="str">
        <f>A126</f>
        <v>Moles O2/Mol HC =</v>
      </c>
      <c r="B372" s="7" t="s">
        <v>59</v>
      </c>
      <c r="C372" s="7"/>
      <c r="D372" s="7"/>
      <c r="E372" s="7"/>
      <c r="F372" s="12"/>
    </row>
    <row r="373" spans="1:6" ht="12.75">
      <c r="A373" t="str">
        <f>A126</f>
        <v>Moles O2/Mol HC =</v>
      </c>
      <c r="B373" s="12">
        <f>B346</f>
        <v>9</v>
      </c>
      <c r="C373" s="7"/>
      <c r="D373" s="7"/>
      <c r="E373" s="7"/>
      <c r="F373" s="12"/>
    </row>
    <row r="374" spans="2:6" ht="12.75">
      <c r="B374" s="12"/>
      <c r="C374" s="7"/>
      <c r="D374" s="7"/>
      <c r="E374" s="7"/>
      <c r="F374" s="12"/>
    </row>
    <row r="375" spans="1:3" ht="12.75">
      <c r="A375" t="str">
        <f>A127</f>
        <v>Air to O2 (80% N2, 20% O2)=</v>
      </c>
      <c r="B375" s="12" t="s">
        <v>565</v>
      </c>
      <c r="C375" s="12">
        <v>5</v>
      </c>
    </row>
    <row r="376" spans="1:3" ht="12.75">
      <c r="A376" t="str">
        <f>A128</f>
        <v>Air to HC =</v>
      </c>
      <c r="B376" s="12" t="s">
        <v>566</v>
      </c>
      <c r="C376" s="12">
        <v>45</v>
      </c>
    </row>
    <row r="377" spans="2:3" ht="12.75">
      <c r="B377" s="12"/>
      <c r="C377" s="12"/>
    </row>
    <row r="378" spans="1:3" ht="12.75">
      <c r="A378" t="s">
        <v>567</v>
      </c>
      <c r="B378" s="12" t="s">
        <v>568</v>
      </c>
      <c r="C378" s="12">
        <f>C376+1</f>
        <v>46</v>
      </c>
    </row>
    <row r="379" spans="2:3" ht="12.75">
      <c r="B379" s="12"/>
      <c r="C379" s="12"/>
    </row>
    <row r="380" spans="2:3" ht="12.75">
      <c r="B380" s="12"/>
      <c r="C380" s="12"/>
    </row>
    <row r="381" spans="2:3" ht="12.75">
      <c r="B381" s="12"/>
      <c r="C381" s="12"/>
    </row>
    <row r="382" spans="2:3" ht="12.75">
      <c r="B382" s="12"/>
      <c r="C382" s="12"/>
    </row>
    <row r="383" spans="1:3" ht="12.75">
      <c r="A383" t="s">
        <v>569</v>
      </c>
      <c r="B383" s="12"/>
      <c r="C383" s="12"/>
    </row>
    <row r="385" spans="1:6" ht="12.75">
      <c r="A385" t="s">
        <v>570</v>
      </c>
      <c r="D385" s="33">
        <f>10.73*(32+460)/14.7</f>
        <v>359.1265306122449</v>
      </c>
      <c r="E385" t="s">
        <v>571</v>
      </c>
      <c r="F385" t="s">
        <v>572</v>
      </c>
    </row>
    <row r="386" spans="1:6" ht="12.75">
      <c r="A386" t="s">
        <v>573</v>
      </c>
      <c r="D386" s="33">
        <f>10.73*(60+460)/14.7</f>
        <v>379.5646258503402</v>
      </c>
      <c r="E386" t="s">
        <v>571</v>
      </c>
      <c r="F386" t="s">
        <v>572</v>
      </c>
    </row>
    <row r="388" spans="1:2" ht="12.75">
      <c r="A388" s="12" t="str">
        <f>A129</f>
        <v>Vol Of Cloud at NTP =</v>
      </c>
      <c r="B388" t="s">
        <v>574</v>
      </c>
    </row>
    <row r="390" spans="1:4" ht="12.75">
      <c r="A390" s="20" t="s">
        <v>257</v>
      </c>
      <c r="B390" t="str">
        <f>"("&amp;C378&amp;")("&amp;INT(D385)&amp;")("&amp;INT(D366)&amp;")/"&amp;B333</f>
        <v>(46)(359)(88183)/84</v>
      </c>
      <c r="D390" s="12" t="s">
        <v>571</v>
      </c>
    </row>
    <row r="391" ht="12.75">
      <c r="A391" s="20"/>
    </row>
    <row r="392" spans="1:5" ht="12.75">
      <c r="A392" s="20" t="s">
        <v>257</v>
      </c>
      <c r="B392" s="38">
        <f>D366/B333*C378*D385</f>
        <v>17342664.796112668</v>
      </c>
      <c r="C392" t="s">
        <v>575</v>
      </c>
      <c r="D392" s="15">
        <f>B392/3.2808^3</f>
        <v>491107.49391152634</v>
      </c>
      <c r="E392" t="s">
        <v>576</v>
      </c>
    </row>
    <row r="394" ht="12.75">
      <c r="A394" t="s">
        <v>616</v>
      </c>
    </row>
    <row r="396" spans="1:2" ht="12.75">
      <c r="A396" s="20" t="s">
        <v>577</v>
      </c>
      <c r="B396" s="72" t="s">
        <v>613</v>
      </c>
    </row>
    <row r="397" ht="12.75">
      <c r="A397" s="20"/>
    </row>
    <row r="398" spans="1:2" ht="12.75">
      <c r="A398" s="12" t="s">
        <v>578</v>
      </c>
      <c r="B398" t="s">
        <v>614</v>
      </c>
    </row>
    <row r="400" spans="1:2" ht="12.75">
      <c r="A400" s="20" t="s">
        <v>617</v>
      </c>
      <c r="B400" t="str">
        <f>"[("&amp;INT(D392)&amp;"*1.5/3.1416)]^0.333"</f>
        <v>[(491107*1.5/3.1416)]^0.333</v>
      </c>
    </row>
    <row r="401" ht="12.75">
      <c r="A401" s="20"/>
    </row>
    <row r="402" spans="1:4" ht="12.75">
      <c r="A402" s="20" t="s">
        <v>617</v>
      </c>
      <c r="B402" s="33">
        <f>(D392*1.5/PI())^0.333333</f>
        <v>61.66482818928605</v>
      </c>
      <c r="C402" t="s">
        <v>64</v>
      </c>
      <c r="D402" s="33"/>
    </row>
    <row r="403" spans="1:3" ht="12.75">
      <c r="A403" s="20" t="s">
        <v>617</v>
      </c>
      <c r="B403" s="33">
        <f>B402*3.2808</f>
        <v>202.30996832340966</v>
      </c>
      <c r="C403" t="s">
        <v>148</v>
      </c>
    </row>
    <row r="405" ht="12.75">
      <c r="A405" t="s">
        <v>618</v>
      </c>
    </row>
    <row r="407" ht="12.75">
      <c r="A407" t="s">
        <v>579</v>
      </c>
    </row>
    <row r="408" ht="12.75">
      <c r="A408" t="s">
        <v>580</v>
      </c>
    </row>
    <row r="410" spans="1:5" ht="12.75">
      <c r="A410" s="20" t="s">
        <v>581</v>
      </c>
      <c r="B410" s="12" t="str">
        <f>"(8)("&amp;INT(D392)&amp;") = "</f>
        <v>(8)(491107) = </v>
      </c>
      <c r="D410" s="15">
        <f>8*D392</f>
        <v>3928859.9512922107</v>
      </c>
      <c r="E410" t="s">
        <v>576</v>
      </c>
    </row>
    <row r="411" ht="12.75">
      <c r="A411" s="20"/>
    </row>
    <row r="412" spans="1:2" ht="12.75">
      <c r="A412" s="20" t="s">
        <v>619</v>
      </c>
      <c r="B412" t="s">
        <v>615</v>
      </c>
    </row>
    <row r="413" ht="12.75">
      <c r="A413" s="20"/>
    </row>
    <row r="414" spans="1:2" ht="12.75">
      <c r="A414" s="20" t="str">
        <f>A412</f>
        <v>Radius Exploded Cloud, Re =</v>
      </c>
      <c r="B414" t="str">
        <f>"[("&amp;INT(D410)&amp;"*1.5/3.1416)]^0.333"</f>
        <v>[(3928859*1.5/3.1416)]^0.333</v>
      </c>
    </row>
    <row r="415" ht="12.75">
      <c r="A415" s="20"/>
    </row>
    <row r="416" spans="1:5" ht="12.75">
      <c r="A416" s="20" t="str">
        <f>A412</f>
        <v>Radius Exploded Cloud, Re =</v>
      </c>
      <c r="B416" s="33">
        <f>(D410*1.5/PI())^0.333333</f>
        <v>123.32957089299813</v>
      </c>
      <c r="C416" t="s">
        <v>64</v>
      </c>
      <c r="D416" s="33">
        <f>B416*3.2808</f>
        <v>404.6196561857483</v>
      </c>
      <c r="E416" t="s">
        <v>148</v>
      </c>
    </row>
    <row r="419" ht="12.75">
      <c r="A419" t="s">
        <v>582</v>
      </c>
    </row>
    <row r="421" spans="1:2" ht="12.75">
      <c r="A421" s="20" t="s">
        <v>583</v>
      </c>
      <c r="B421" t="s">
        <v>584</v>
      </c>
    </row>
    <row r="423" spans="1:4" ht="12.75">
      <c r="A423" t="s">
        <v>732</v>
      </c>
      <c r="B423" s="73">
        <v>9.6</v>
      </c>
      <c r="C423" t="s">
        <v>585</v>
      </c>
      <c r="D423" t="s">
        <v>736</v>
      </c>
    </row>
    <row r="425" ht="12.75">
      <c r="A425" t="s">
        <v>586</v>
      </c>
    </row>
    <row r="427" ht="12.75">
      <c r="B427" t="s">
        <v>587</v>
      </c>
    </row>
    <row r="429" spans="2:3" ht="12.75">
      <c r="B429" t="s">
        <v>588</v>
      </c>
      <c r="C429" t="s">
        <v>737</v>
      </c>
    </row>
    <row r="430" ht="12.75">
      <c r="C430" t="s">
        <v>589</v>
      </c>
    </row>
    <row r="431" ht="12.75">
      <c r="C431" t="s">
        <v>590</v>
      </c>
    </row>
    <row r="433" spans="1:2" ht="12.75">
      <c r="A433" s="20" t="s">
        <v>591</v>
      </c>
      <c r="B433" t="s">
        <v>592</v>
      </c>
    </row>
    <row r="434" ht="12.75">
      <c r="A434" s="20"/>
    </row>
    <row r="435" spans="1:2" ht="12.75">
      <c r="A435" s="20" t="s">
        <v>591</v>
      </c>
      <c r="B435" t="s">
        <v>738</v>
      </c>
    </row>
    <row r="436" ht="12.75">
      <c r="A436" s="20"/>
    </row>
    <row r="437" spans="1:6" ht="12.75">
      <c r="A437" s="20" t="s">
        <v>591</v>
      </c>
      <c r="B437" s="15">
        <f>(D416/B423)^3</f>
        <v>74873.34416843297</v>
      </c>
      <c r="C437" t="s">
        <v>593</v>
      </c>
      <c r="E437" s="33">
        <f>B437/2000</f>
        <v>37.43667208421649</v>
      </c>
      <c r="F437" t="s">
        <v>594</v>
      </c>
    </row>
    <row r="439" ht="12.75">
      <c r="A439" t="s">
        <v>595</v>
      </c>
    </row>
    <row r="441" ht="12.75">
      <c r="B441" t="s">
        <v>596</v>
      </c>
    </row>
    <row r="443" spans="1:2" ht="12.75">
      <c r="A443" s="20" t="s">
        <v>549</v>
      </c>
      <c r="B443" t="s">
        <v>739</v>
      </c>
    </row>
    <row r="444" ht="12.75">
      <c r="A444" s="20"/>
    </row>
    <row r="445" spans="1:2" ht="12.75">
      <c r="A445" s="20" t="s">
        <v>549</v>
      </c>
      <c r="B445" t="s">
        <v>740</v>
      </c>
    </row>
    <row r="446" ht="12.75">
      <c r="A446" s="20"/>
    </row>
    <row r="447" spans="1:4" ht="12.75">
      <c r="A447" s="20" t="s">
        <v>549</v>
      </c>
      <c r="B447" s="19">
        <f>B437*2000/D366/B345</f>
        <v>0.09080835861481809</v>
      </c>
      <c r="D447" s="3"/>
    </row>
    <row r="448" spans="1:2" ht="12.75">
      <c r="A448" s="20"/>
      <c r="B448" s="19"/>
    </row>
    <row r="449" ht="12.75">
      <c r="A449" s="11" t="s">
        <v>597</v>
      </c>
    </row>
    <row r="450" ht="12.75">
      <c r="A450" s="11"/>
    </row>
    <row r="451" spans="1:3" ht="12.75">
      <c r="A451" s="20"/>
      <c r="B451" s="19">
        <v>0.09</v>
      </c>
      <c r="C451" t="s">
        <v>598</v>
      </c>
    </row>
    <row r="452" spans="1:3" ht="12.75">
      <c r="A452" s="20"/>
      <c r="B452" s="19">
        <v>0.05</v>
      </c>
      <c r="C452" t="s">
        <v>599</v>
      </c>
    </row>
    <row r="453" spans="1:3" ht="12.75">
      <c r="A453" s="20"/>
      <c r="B453" s="19">
        <v>0.01</v>
      </c>
      <c r="C453" t="s">
        <v>600</v>
      </c>
    </row>
    <row r="454" ht="12.75">
      <c r="B454" s="19"/>
    </row>
    <row r="455" ht="12.75">
      <c r="A455" t="s">
        <v>601</v>
      </c>
    </row>
    <row r="458" spans="1:3" ht="12.75">
      <c r="A458" s="20" t="s">
        <v>602</v>
      </c>
      <c r="B458" s="73">
        <v>5</v>
      </c>
      <c r="C458" t="s">
        <v>741</v>
      </c>
    </row>
    <row r="460" ht="12.75">
      <c r="A460" t="s">
        <v>603</v>
      </c>
    </row>
    <row r="462" spans="1:3" ht="12.75">
      <c r="A462" s="20" t="s">
        <v>604</v>
      </c>
      <c r="B462" s="73">
        <f>14.3</f>
        <v>14.3</v>
      </c>
      <c r="C462" t="s">
        <v>605</v>
      </c>
    </row>
    <row r="464" spans="1:2" ht="12.75">
      <c r="A464" s="20" t="s">
        <v>606</v>
      </c>
      <c r="B464" t="s">
        <v>607</v>
      </c>
    </row>
    <row r="466" spans="1:4" ht="12.75">
      <c r="A466" s="20" t="s">
        <v>606</v>
      </c>
      <c r="B466" t="s">
        <v>742</v>
      </c>
      <c r="D466" s="3"/>
    </row>
    <row r="468" spans="1:5" ht="12.75">
      <c r="A468" s="20" t="s">
        <v>606</v>
      </c>
      <c r="B468" s="33">
        <f>14.3*B437^0.333333</f>
        <v>602.7124413307488</v>
      </c>
      <c r="C468" t="s">
        <v>608</v>
      </c>
      <c r="D468" s="33">
        <f>B468/3.2808</f>
        <v>183.7089860188822</v>
      </c>
      <c r="E468" t="s">
        <v>64</v>
      </c>
    </row>
  </sheetData>
  <printOptions/>
  <pageMargins left="1.25" right="0.1" top="1" bottom="1" header="0.5" footer="0.5"/>
  <pageSetup horizontalDpi="600" verticalDpi="600" orientation="portrait" r:id="rId4"/>
  <headerFooter alignWithMargins="0">
    <oddHeader>&amp;LVessel Hazards and Consequence Analyses&amp;R&amp;D</oddHeader>
    <oddFooter>&amp;LR.A. Hawrelak&amp;C&amp;T&amp;R&amp;f</oddFooter>
  </headerFooter>
  <rowBreaks count="1" manualBreakCount="1">
    <brk id="159" max="655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3"/>
  <sheetViews>
    <sheetView zoomScale="90" zoomScaleNormal="90" workbookViewId="0" topLeftCell="A1">
      <pane ySplit="1545" topLeftCell="BM1" activePane="bottomLeft" state="split"/>
      <selection pane="topLeft" activeCell="U1" sqref="U1:U16384"/>
      <selection pane="bottomLeft" activeCell="Y11" sqref="Y11"/>
    </sheetView>
  </sheetViews>
  <sheetFormatPr defaultColWidth="9.00390625" defaultRowHeight="12.75"/>
  <cols>
    <col min="1" max="1" width="24.125" style="0" customWidth="1"/>
    <col min="2" max="27" width="3.75390625" style="0" customWidth="1"/>
    <col min="28" max="16384" width="11.375" style="0" customWidth="1"/>
  </cols>
  <sheetData>
    <row r="1" ht="12.75">
      <c r="B1" t="s">
        <v>744</v>
      </c>
    </row>
    <row r="2" ht="12.75">
      <c r="B2" t="s">
        <v>745</v>
      </c>
    </row>
    <row r="5" spans="10:13" ht="12.75">
      <c r="J5" s="28" t="s">
        <v>746</v>
      </c>
      <c r="M5" s="28"/>
    </row>
    <row r="6" spans="1:27" ht="12.75">
      <c r="A6" s="28" t="s">
        <v>747</v>
      </c>
      <c r="B6" s="202">
        <f>0.5</f>
        <v>0.5</v>
      </c>
      <c r="C6" s="202">
        <f aca="true" t="shared" si="0" ref="C6:L6">B6+0.5</f>
        <v>1</v>
      </c>
      <c r="D6" s="202">
        <f t="shared" si="0"/>
        <v>1.5</v>
      </c>
      <c r="E6" s="202">
        <f t="shared" si="0"/>
        <v>2</v>
      </c>
      <c r="F6" s="202">
        <f t="shared" si="0"/>
        <v>2.5</v>
      </c>
      <c r="G6" s="202">
        <f t="shared" si="0"/>
        <v>3</v>
      </c>
      <c r="H6" s="202">
        <f t="shared" si="0"/>
        <v>3.5</v>
      </c>
      <c r="I6" s="202">
        <f t="shared" si="0"/>
        <v>4</v>
      </c>
      <c r="J6" s="202">
        <f t="shared" si="0"/>
        <v>4.5</v>
      </c>
      <c r="K6" s="202">
        <f t="shared" si="0"/>
        <v>5</v>
      </c>
      <c r="L6" s="202">
        <f t="shared" si="0"/>
        <v>5.5</v>
      </c>
      <c r="M6" s="202">
        <f aca="true" t="shared" si="1" ref="M6:U6">L6+0.5</f>
        <v>6</v>
      </c>
      <c r="N6" s="202">
        <f t="shared" si="1"/>
        <v>6.5</v>
      </c>
      <c r="O6" s="202">
        <f t="shared" si="1"/>
        <v>7</v>
      </c>
      <c r="P6" s="202">
        <f t="shared" si="1"/>
        <v>7.5</v>
      </c>
      <c r="Q6" s="202">
        <f t="shared" si="1"/>
        <v>8</v>
      </c>
      <c r="R6" s="202">
        <f t="shared" si="1"/>
        <v>8.5</v>
      </c>
      <c r="S6" s="202">
        <f t="shared" si="1"/>
        <v>9</v>
      </c>
      <c r="T6" s="202">
        <f t="shared" si="1"/>
        <v>9.5</v>
      </c>
      <c r="U6" s="203">
        <f t="shared" si="1"/>
        <v>10</v>
      </c>
      <c r="V6" s="203">
        <f aca="true" t="shared" si="2" ref="V6:AA6">U6+2</f>
        <v>12</v>
      </c>
      <c r="W6" s="203">
        <f t="shared" si="2"/>
        <v>14</v>
      </c>
      <c r="X6" s="203">
        <f t="shared" si="2"/>
        <v>16</v>
      </c>
      <c r="Y6" s="203">
        <f t="shared" si="2"/>
        <v>18</v>
      </c>
      <c r="Z6" s="203">
        <f t="shared" si="2"/>
        <v>20</v>
      </c>
      <c r="AA6" s="203">
        <f t="shared" si="2"/>
        <v>22</v>
      </c>
    </row>
    <row r="7" spans="1:27" ht="13.5" thickBot="1">
      <c r="A7" s="28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5"/>
      <c r="V7" s="205"/>
      <c r="W7" s="205"/>
      <c r="X7" s="205"/>
      <c r="Y7" s="205"/>
      <c r="Z7" s="205"/>
      <c r="AA7" s="205"/>
    </row>
    <row r="8" spans="1:27" ht="13.5" thickBot="1">
      <c r="A8" s="28" t="s">
        <v>748</v>
      </c>
      <c r="B8" s="206" t="s">
        <v>749</v>
      </c>
      <c r="C8" s="207" t="s">
        <v>750</v>
      </c>
      <c r="D8" s="207" t="s">
        <v>751</v>
      </c>
      <c r="E8" s="207"/>
      <c r="F8" s="207"/>
      <c r="G8" s="207"/>
      <c r="H8" s="208" t="s">
        <v>752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3.5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3.5" thickBot="1">
      <c r="A10" s="28" t="s">
        <v>753</v>
      </c>
      <c r="B10" s="206" t="s">
        <v>749</v>
      </c>
      <c r="C10" s="207" t="s">
        <v>754</v>
      </c>
      <c r="D10" s="207" t="s">
        <v>755</v>
      </c>
      <c r="E10" s="207" t="s">
        <v>751</v>
      </c>
      <c r="F10" s="209"/>
      <c r="G10" s="209"/>
      <c r="H10" s="207" t="s">
        <v>752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8" t="s">
        <v>756</v>
      </c>
      <c r="V10" s="28"/>
      <c r="W10" s="28"/>
      <c r="X10" s="28"/>
      <c r="Y10" s="28"/>
      <c r="Z10" s="28"/>
      <c r="AA10" s="28"/>
    </row>
    <row r="11" spans="1:27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3.5" thickBot="1">
      <c r="A12" s="28" t="s">
        <v>757</v>
      </c>
      <c r="B12" s="206" t="s">
        <v>758</v>
      </c>
      <c r="C12" s="207"/>
      <c r="D12" s="207"/>
      <c r="E12" s="207" t="s">
        <v>759</v>
      </c>
      <c r="F12" s="207"/>
      <c r="G12" s="207"/>
      <c r="H12" s="208" t="s">
        <v>756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3.5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3.5" thickBot="1">
      <c r="A14" s="28" t="s">
        <v>760</v>
      </c>
      <c r="B14" s="28"/>
      <c r="C14" s="206" t="s">
        <v>751</v>
      </c>
      <c r="D14" s="207"/>
      <c r="E14" s="207"/>
      <c r="F14" s="207"/>
      <c r="G14" s="207" t="s">
        <v>761</v>
      </c>
      <c r="H14" s="207"/>
      <c r="I14" s="207"/>
      <c r="J14" s="207"/>
      <c r="K14" s="207"/>
      <c r="L14" s="207"/>
      <c r="M14" s="207"/>
      <c r="N14" s="208" t="s">
        <v>762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3.5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3.5" thickBot="1">
      <c r="A16" s="28" t="s">
        <v>763</v>
      </c>
      <c r="B16" s="28"/>
      <c r="C16" s="28"/>
      <c r="D16" s="206" t="s">
        <v>749</v>
      </c>
      <c r="E16" s="207"/>
      <c r="F16" s="207"/>
      <c r="G16" s="207" t="s">
        <v>764</v>
      </c>
      <c r="H16" s="207"/>
      <c r="I16" s="207"/>
      <c r="J16" s="207"/>
      <c r="K16" s="207"/>
      <c r="L16" s="207"/>
      <c r="M16" s="208" t="s">
        <v>765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3.5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3.5" thickBot="1">
      <c r="A18" s="28" t="s">
        <v>766</v>
      </c>
      <c r="B18" s="28"/>
      <c r="C18" s="28"/>
      <c r="D18" s="28"/>
      <c r="E18" s="206" t="s">
        <v>767</v>
      </c>
      <c r="F18" s="207" t="s">
        <v>768</v>
      </c>
      <c r="G18" s="207"/>
      <c r="H18" s="207"/>
      <c r="I18" s="207"/>
      <c r="J18" s="207"/>
      <c r="K18" s="208" t="s">
        <v>765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3.5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3.5" thickBot="1">
      <c r="A20" s="28" t="s">
        <v>769</v>
      </c>
      <c r="B20" s="28"/>
      <c r="C20" s="28"/>
      <c r="D20" s="28"/>
      <c r="E20" s="206" t="s">
        <v>749</v>
      </c>
      <c r="F20" s="207"/>
      <c r="G20" s="207"/>
      <c r="H20" s="207"/>
      <c r="I20" s="207" t="s">
        <v>768</v>
      </c>
      <c r="J20" s="207"/>
      <c r="K20" s="207"/>
      <c r="L20" s="207"/>
      <c r="M20" s="207"/>
      <c r="N20" s="207" t="s">
        <v>755</v>
      </c>
      <c r="O20" s="207"/>
      <c r="P20" s="207"/>
      <c r="Q20" s="207"/>
      <c r="R20" s="207"/>
      <c r="S20" s="208" t="s">
        <v>765</v>
      </c>
      <c r="T20" s="28"/>
      <c r="U20" s="28"/>
      <c r="V20" s="28"/>
      <c r="W20" s="28"/>
      <c r="X20" s="28"/>
      <c r="Y20" s="28"/>
      <c r="Z20" s="28"/>
      <c r="AA20" s="28"/>
    </row>
    <row r="21" spans="1:27" ht="13.5" thickBo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3.5" thickBot="1">
      <c r="A22" s="28" t="s">
        <v>770</v>
      </c>
      <c r="B22" s="28"/>
      <c r="C22" s="28"/>
      <c r="D22" s="28"/>
      <c r="E22" s="206" t="s">
        <v>771</v>
      </c>
      <c r="F22" s="207"/>
      <c r="G22" s="207"/>
      <c r="H22" s="207"/>
      <c r="I22" s="207"/>
      <c r="J22" s="207" t="s">
        <v>759</v>
      </c>
      <c r="K22" s="207"/>
      <c r="L22" s="207"/>
      <c r="M22" s="207"/>
      <c r="N22" s="207"/>
      <c r="O22" s="207"/>
      <c r="P22" s="207"/>
      <c r="Q22" s="207"/>
      <c r="R22" s="207"/>
      <c r="S22" s="207"/>
      <c r="T22" s="207" t="s">
        <v>772</v>
      </c>
      <c r="U22" s="207"/>
      <c r="V22" s="208" t="s">
        <v>765</v>
      </c>
      <c r="W22" s="28"/>
      <c r="X22" s="28"/>
      <c r="Y22" s="28"/>
      <c r="Z22" s="28"/>
      <c r="AA22" s="28"/>
    </row>
    <row r="23" spans="1:27" ht="13.5" thickBo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3.5" thickBot="1">
      <c r="A24" s="28" t="s">
        <v>773</v>
      </c>
      <c r="B24" s="28"/>
      <c r="C24" s="28"/>
      <c r="D24" s="28"/>
      <c r="E24" s="28"/>
      <c r="F24" s="28"/>
      <c r="G24" s="206" t="s">
        <v>774</v>
      </c>
      <c r="H24" s="207"/>
      <c r="I24" s="207"/>
      <c r="J24" s="207"/>
      <c r="K24" s="207" t="s">
        <v>775</v>
      </c>
      <c r="L24" s="207"/>
      <c r="M24" s="207"/>
      <c r="N24" s="207"/>
      <c r="O24" s="207"/>
      <c r="P24" s="208" t="s">
        <v>765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3.5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3.5" thickBot="1">
      <c r="A26" s="28" t="s">
        <v>776</v>
      </c>
      <c r="B26" s="28"/>
      <c r="C26" s="28"/>
      <c r="D26" s="28"/>
      <c r="E26" s="28"/>
      <c r="F26" s="28"/>
      <c r="G26" s="206" t="s">
        <v>761</v>
      </c>
      <c r="H26" s="207"/>
      <c r="I26" s="207"/>
      <c r="J26" s="207"/>
      <c r="K26" s="207"/>
      <c r="L26" s="207"/>
      <c r="M26" s="207" t="s">
        <v>762</v>
      </c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8" t="s">
        <v>751</v>
      </c>
      <c r="AA26" s="28"/>
    </row>
    <row r="27" spans="1:27" ht="13.5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3.5" thickBot="1">
      <c r="A28" s="28" t="s">
        <v>777</v>
      </c>
      <c r="B28" s="28"/>
      <c r="C28" s="28"/>
      <c r="D28" s="28"/>
      <c r="E28" s="28"/>
      <c r="F28" s="28"/>
      <c r="G28" s="28"/>
      <c r="H28" s="206" t="s">
        <v>774</v>
      </c>
      <c r="I28" s="207"/>
      <c r="J28" s="207"/>
      <c r="K28" s="207"/>
      <c r="L28" s="207"/>
      <c r="M28" s="207"/>
      <c r="N28" s="207"/>
      <c r="O28" s="207" t="s">
        <v>768</v>
      </c>
      <c r="P28" s="207"/>
      <c r="Q28" s="207"/>
      <c r="R28" s="207"/>
      <c r="S28" s="207"/>
      <c r="T28" s="207"/>
      <c r="U28" s="207"/>
      <c r="V28" s="208" t="s">
        <v>765</v>
      </c>
      <c r="W28" s="28"/>
      <c r="X28" s="28"/>
      <c r="Y28" s="28"/>
      <c r="Z28" s="28"/>
      <c r="AA28" s="28"/>
    </row>
    <row r="29" spans="1:27" ht="13.5" thickBo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3.5" thickBot="1">
      <c r="A30" s="28" t="s">
        <v>778</v>
      </c>
      <c r="B30" s="28"/>
      <c r="C30" s="28"/>
      <c r="D30" s="28"/>
      <c r="E30" s="28"/>
      <c r="F30" s="28"/>
      <c r="G30" s="28"/>
      <c r="H30" s="206" t="s">
        <v>755</v>
      </c>
      <c r="I30" s="207"/>
      <c r="J30" s="207"/>
      <c r="K30" s="207"/>
      <c r="L30" s="207"/>
      <c r="M30" s="208" t="s">
        <v>779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13.5" thickBo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3.5" thickBot="1">
      <c r="A32" s="28" t="s">
        <v>780</v>
      </c>
      <c r="B32" s="28"/>
      <c r="C32" s="28"/>
      <c r="D32" s="28"/>
      <c r="E32" s="28"/>
      <c r="F32" s="28"/>
      <c r="G32" s="28"/>
      <c r="H32" s="28"/>
      <c r="I32" s="28"/>
      <c r="J32" s="210" t="s">
        <v>781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13.5" thickBo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13.5" thickBot="1">
      <c r="A34" s="28" t="s">
        <v>782</v>
      </c>
      <c r="B34" s="28"/>
      <c r="C34" s="28"/>
      <c r="D34" s="28"/>
      <c r="E34" s="28"/>
      <c r="F34" s="28"/>
      <c r="G34" s="28"/>
      <c r="H34" s="28"/>
      <c r="I34" s="28"/>
      <c r="J34" s="206" t="s">
        <v>771</v>
      </c>
      <c r="K34" s="207"/>
      <c r="L34" s="207"/>
      <c r="M34" s="207"/>
      <c r="N34" s="207"/>
      <c r="O34" s="207"/>
      <c r="P34" s="207" t="s">
        <v>783</v>
      </c>
      <c r="Q34" s="207"/>
      <c r="R34" s="207"/>
      <c r="S34" s="207"/>
      <c r="T34" s="207"/>
      <c r="U34" s="208" t="s">
        <v>765</v>
      </c>
      <c r="V34" s="28"/>
      <c r="W34" s="28"/>
      <c r="X34" s="28"/>
      <c r="Y34" s="28"/>
      <c r="Z34" s="28"/>
      <c r="AA34" s="28"/>
    </row>
    <row r="35" spans="1:27" ht="13.5" thickBo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13.5" thickBot="1">
      <c r="A36" s="28" t="s">
        <v>784</v>
      </c>
      <c r="B36" s="28"/>
      <c r="C36" s="28"/>
      <c r="D36" s="28"/>
      <c r="E36" s="28"/>
      <c r="F36" s="28"/>
      <c r="G36" s="28"/>
      <c r="H36" s="28"/>
      <c r="I36" s="28"/>
      <c r="J36" s="28"/>
      <c r="K36" s="206" t="s">
        <v>771</v>
      </c>
      <c r="L36" s="207"/>
      <c r="M36" s="207"/>
      <c r="N36" s="207"/>
      <c r="O36" s="207"/>
      <c r="P36" s="207"/>
      <c r="Q36" s="207"/>
      <c r="R36" s="207"/>
      <c r="S36" s="207" t="s">
        <v>783</v>
      </c>
      <c r="T36" s="207"/>
      <c r="U36" s="207"/>
      <c r="V36" s="207"/>
      <c r="W36" s="207"/>
      <c r="X36" s="207"/>
      <c r="Y36" s="207"/>
      <c r="Z36" s="207"/>
      <c r="AA36" s="208" t="s">
        <v>772</v>
      </c>
    </row>
    <row r="37" spans="1:27" ht="13.5" thickBo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13.5" thickBot="1">
      <c r="A38" s="28" t="s">
        <v>785</v>
      </c>
      <c r="B38" s="28"/>
      <c r="C38" s="28"/>
      <c r="D38" s="28"/>
      <c r="E38" s="28"/>
      <c r="F38" s="28"/>
      <c r="G38" s="28"/>
      <c r="H38" s="28"/>
      <c r="I38" s="28"/>
      <c r="J38" s="28"/>
      <c r="K38" s="206" t="s">
        <v>781</v>
      </c>
      <c r="L38" s="207"/>
      <c r="M38" s="207"/>
      <c r="N38" s="207"/>
      <c r="O38" s="207"/>
      <c r="P38" s="207"/>
      <c r="Q38" s="207"/>
      <c r="R38" s="207"/>
      <c r="S38" s="207"/>
      <c r="T38" s="207"/>
      <c r="U38" s="208" t="s">
        <v>765</v>
      </c>
      <c r="V38" s="28"/>
      <c r="W38" s="28"/>
      <c r="X38" s="28"/>
      <c r="Y38" s="28"/>
      <c r="Z38" s="28"/>
      <c r="AA38" s="28"/>
    </row>
    <row r="39" spans="1:27" ht="13.5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5" thickBot="1">
      <c r="A40" s="28" t="s">
        <v>786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06" t="s">
        <v>787</v>
      </c>
      <c r="M40" s="207"/>
      <c r="N40" s="207"/>
      <c r="O40" s="208" t="s">
        <v>765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5" thickBo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5" thickBot="1">
      <c r="A42" s="28" t="s">
        <v>788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06" t="s">
        <v>789</v>
      </c>
      <c r="N42" s="207"/>
      <c r="O42" s="207"/>
      <c r="P42" s="207"/>
      <c r="Q42" s="207"/>
      <c r="R42" s="207"/>
      <c r="S42" s="208" t="s">
        <v>765</v>
      </c>
      <c r="T42" s="28"/>
      <c r="U42" s="28"/>
      <c r="V42" s="28"/>
      <c r="W42" s="28"/>
      <c r="X42" s="28"/>
      <c r="Y42" s="28"/>
      <c r="Z42" s="28"/>
      <c r="AA42" s="28"/>
    </row>
    <row r="43" spans="1:27" ht="13.5" thickBo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13.5" thickBot="1">
      <c r="A44" s="28" t="s">
        <v>790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06" t="s">
        <v>768</v>
      </c>
      <c r="N44" s="207"/>
      <c r="O44" s="207"/>
      <c r="P44" s="207"/>
      <c r="Q44" s="207"/>
      <c r="R44" s="207"/>
      <c r="S44" s="207"/>
      <c r="T44" s="207"/>
      <c r="U44" s="208" t="s">
        <v>791</v>
      </c>
      <c r="V44" s="28"/>
      <c r="W44" s="28"/>
      <c r="X44" s="28"/>
      <c r="Y44" s="28"/>
      <c r="Z44" s="28"/>
      <c r="AA44" s="28"/>
    </row>
    <row r="45" spans="1:27" ht="13.5" thickBo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13.5" thickBot="1">
      <c r="A46" s="28" t="s">
        <v>792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06" t="s">
        <v>768</v>
      </c>
      <c r="O46" s="207"/>
      <c r="P46" s="207"/>
      <c r="Q46" s="207"/>
      <c r="R46" s="207"/>
      <c r="S46" s="207"/>
      <c r="T46" s="207"/>
      <c r="U46" s="207" t="s">
        <v>772</v>
      </c>
      <c r="V46" s="208" t="s">
        <v>765</v>
      </c>
      <c r="W46" s="28"/>
      <c r="X46" s="28"/>
      <c r="Y46" s="28"/>
      <c r="Z46" s="28"/>
      <c r="AA46" s="28"/>
    </row>
    <row r="47" spans="1:27" ht="13.5" thickBo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13.5" thickBot="1">
      <c r="A48" s="28" t="s">
        <v>793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06" t="s">
        <v>768</v>
      </c>
      <c r="Q48" s="207"/>
      <c r="R48" s="207"/>
      <c r="S48" s="207"/>
      <c r="T48" s="207"/>
      <c r="U48" s="207"/>
      <c r="V48" s="207" t="s">
        <v>794</v>
      </c>
      <c r="W48" s="207" t="s">
        <v>795</v>
      </c>
      <c r="X48" s="207"/>
      <c r="Y48" s="207"/>
      <c r="Z48" s="207"/>
      <c r="AA48" s="208" t="s">
        <v>772</v>
      </c>
    </row>
    <row r="49" spans="1:27" ht="13.5" thickBo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13.5" thickBot="1">
      <c r="A50" s="28" t="s">
        <v>796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06" t="s">
        <v>768</v>
      </c>
      <c r="Q50" s="207"/>
      <c r="R50" s="207"/>
      <c r="S50" s="208" t="s">
        <v>765</v>
      </c>
      <c r="T50" s="28"/>
      <c r="U50" s="28"/>
      <c r="V50" s="28"/>
      <c r="W50" s="28"/>
      <c r="X50" s="28"/>
      <c r="Y50" s="28"/>
      <c r="Z50" s="28"/>
      <c r="AA50" s="28"/>
    </row>
    <row r="51" spans="1:27" ht="13.5" thickBo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5" thickBot="1">
      <c r="A52" s="28" t="s">
        <v>797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06" t="s">
        <v>774</v>
      </c>
      <c r="R52" s="207"/>
      <c r="S52" s="207"/>
      <c r="T52" s="207"/>
      <c r="U52" s="207"/>
      <c r="V52" s="207"/>
      <c r="W52" s="207" t="s">
        <v>768</v>
      </c>
      <c r="X52" s="208" t="s">
        <v>765</v>
      </c>
      <c r="Y52" s="28"/>
      <c r="Z52" s="28"/>
      <c r="AA52" s="28"/>
    </row>
    <row r="53" spans="1:27" ht="13.5" thickBo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5" thickBot="1">
      <c r="A54" s="28" t="s">
        <v>798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06" t="s">
        <v>768</v>
      </c>
      <c r="W54" s="208" t="s">
        <v>765</v>
      </c>
      <c r="X54" s="28"/>
      <c r="Y54" s="28"/>
      <c r="Z54" s="28"/>
      <c r="AA54" s="28"/>
    </row>
    <row r="55" spans="1:27" ht="13.5" thickBo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3.5" thickBot="1">
      <c r="A56" s="28" t="s">
        <v>799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06" t="s">
        <v>768</v>
      </c>
      <c r="W56" s="207"/>
      <c r="X56" s="208" t="s">
        <v>772</v>
      </c>
      <c r="Y56" s="28"/>
      <c r="Z56" s="28"/>
      <c r="AA56" s="28"/>
    </row>
    <row r="57" spans="2:27" ht="12.75">
      <c r="B57" s="28" t="s">
        <v>800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137"/>
      <c r="W57" s="137"/>
      <c r="X57" s="137"/>
      <c r="Y57" s="28"/>
      <c r="Z57" s="28"/>
      <c r="AA57" s="28"/>
    </row>
    <row r="58" spans="2:27" ht="12.75">
      <c r="B58" s="28" t="s">
        <v>801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137"/>
      <c r="W58" s="137"/>
      <c r="X58" s="137"/>
      <c r="Y58" s="28"/>
      <c r="Z58" s="28"/>
      <c r="AA58" s="28"/>
    </row>
    <row r="59" spans="2:27" ht="12.75">
      <c r="B59" s="28" t="s">
        <v>802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137"/>
      <c r="W59" s="137"/>
      <c r="X59" s="137"/>
      <c r="Y59" s="28"/>
      <c r="Z59" s="28"/>
      <c r="AA59" s="28"/>
    </row>
    <row r="60" spans="2:27" ht="12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137"/>
      <c r="W60" s="137"/>
      <c r="X60" s="137"/>
      <c r="Y60" s="28"/>
      <c r="Z60" s="28"/>
      <c r="AA60" s="28"/>
    </row>
    <row r="61" spans="2:27" ht="12.75">
      <c r="B61" s="28" t="s">
        <v>803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137"/>
      <c r="W61" s="137"/>
      <c r="X61" s="137"/>
      <c r="Y61" s="28"/>
      <c r="Z61" s="28"/>
      <c r="AA61" s="28"/>
    </row>
    <row r="62" spans="2:27" ht="12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2:27" ht="12.75">
      <c r="B63" s="13" t="s">
        <v>749</v>
      </c>
      <c r="C63" s="28" t="s">
        <v>804</v>
      </c>
      <c r="D63" s="28"/>
      <c r="E63" s="28"/>
      <c r="F63" s="28"/>
      <c r="G63" s="28"/>
      <c r="H63" s="28"/>
      <c r="I63" s="28"/>
      <c r="J63" s="28"/>
      <c r="K63" s="28"/>
      <c r="L63" s="28"/>
      <c r="O63" s="13" t="s">
        <v>783</v>
      </c>
      <c r="P63" s="28" t="s">
        <v>805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2:27" ht="12.75">
      <c r="B64" s="13" t="s">
        <v>758</v>
      </c>
      <c r="C64" s="28" t="s">
        <v>806</v>
      </c>
      <c r="D64" s="28"/>
      <c r="E64" s="28"/>
      <c r="F64" s="28"/>
      <c r="G64" s="28"/>
      <c r="H64" s="28"/>
      <c r="I64" s="28"/>
      <c r="J64" s="28"/>
      <c r="K64" s="28"/>
      <c r="L64" s="28"/>
      <c r="O64" s="13" t="s">
        <v>794</v>
      </c>
      <c r="P64" s="28" t="s">
        <v>807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2:27" ht="12.75">
      <c r="B65" s="13" t="s">
        <v>750</v>
      </c>
      <c r="C65" s="28" t="s">
        <v>808</v>
      </c>
      <c r="D65" s="28"/>
      <c r="E65" s="28"/>
      <c r="F65" s="28"/>
      <c r="G65" s="28"/>
      <c r="H65" s="28"/>
      <c r="I65" s="28"/>
      <c r="J65" s="28"/>
      <c r="K65" s="28"/>
      <c r="L65" s="28"/>
      <c r="O65" s="13" t="s">
        <v>752</v>
      </c>
      <c r="P65" s="28" t="s">
        <v>809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2:27" ht="12.75">
      <c r="B66" s="13" t="s">
        <v>751</v>
      </c>
      <c r="C66" s="28" t="s">
        <v>810</v>
      </c>
      <c r="D66" s="28"/>
      <c r="E66" s="28"/>
      <c r="F66" s="28"/>
      <c r="G66" s="28"/>
      <c r="H66" s="28"/>
      <c r="I66" s="28"/>
      <c r="J66" s="28"/>
      <c r="K66" s="28"/>
      <c r="L66" s="28"/>
      <c r="O66" s="13" t="s">
        <v>756</v>
      </c>
      <c r="P66" s="28" t="s">
        <v>811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2:27" ht="12.75">
      <c r="B67" s="13" t="s">
        <v>754</v>
      </c>
      <c r="C67" s="28" t="s">
        <v>812</v>
      </c>
      <c r="D67" s="28"/>
      <c r="E67" s="28"/>
      <c r="F67" s="28"/>
      <c r="G67" s="28"/>
      <c r="H67" s="28"/>
      <c r="I67" s="28"/>
      <c r="J67" s="28"/>
      <c r="K67" s="28"/>
      <c r="L67" s="28"/>
      <c r="O67" s="13" t="s">
        <v>755</v>
      </c>
      <c r="P67" s="28" t="s">
        <v>813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2:27" ht="12.75">
      <c r="B68" s="13" t="s">
        <v>759</v>
      </c>
      <c r="C68" s="28" t="s">
        <v>814</v>
      </c>
      <c r="D68" s="28"/>
      <c r="E68" s="28"/>
      <c r="F68" s="28"/>
      <c r="G68" s="28"/>
      <c r="H68" s="28"/>
      <c r="I68" s="28"/>
      <c r="J68" s="28"/>
      <c r="K68" s="28"/>
      <c r="L68" s="28"/>
      <c r="O68" s="13" t="s">
        <v>781</v>
      </c>
      <c r="P68" s="28" t="s">
        <v>815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2:27" ht="12.75">
      <c r="B69" s="13" t="s">
        <v>767</v>
      </c>
      <c r="C69" s="28" t="s">
        <v>816</v>
      </c>
      <c r="D69" s="28"/>
      <c r="E69" s="28"/>
      <c r="F69" s="28"/>
      <c r="G69" s="28"/>
      <c r="H69" s="28"/>
      <c r="I69" s="28"/>
      <c r="J69" s="28"/>
      <c r="K69" s="28"/>
      <c r="L69" s="28"/>
      <c r="O69" s="13" t="s">
        <v>787</v>
      </c>
      <c r="P69" s="28" t="s">
        <v>817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2:27" ht="12.75">
      <c r="B70" s="13" t="s">
        <v>771</v>
      </c>
      <c r="C70" s="28" t="s">
        <v>818</v>
      </c>
      <c r="D70" s="28"/>
      <c r="E70" s="28"/>
      <c r="F70" s="28"/>
      <c r="G70" s="28"/>
      <c r="H70" s="28"/>
      <c r="I70" s="28"/>
      <c r="J70" s="28"/>
      <c r="K70" s="28"/>
      <c r="L70" s="28"/>
      <c r="O70" s="13" t="s">
        <v>795</v>
      </c>
      <c r="P70" s="28" t="s">
        <v>819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2:27" ht="12.75">
      <c r="B71" s="13" t="s">
        <v>768</v>
      </c>
      <c r="C71" s="28" t="s">
        <v>820</v>
      </c>
      <c r="D71" s="28"/>
      <c r="E71" s="28"/>
      <c r="F71" s="28"/>
      <c r="G71" s="28"/>
      <c r="H71" s="28"/>
      <c r="I71" s="28"/>
      <c r="J71" s="28"/>
      <c r="K71" s="28"/>
      <c r="L71" s="28"/>
      <c r="O71" s="13" t="s">
        <v>765</v>
      </c>
      <c r="P71" s="28" t="s">
        <v>821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2:27" ht="12.75">
      <c r="B72" s="13" t="s">
        <v>774</v>
      </c>
      <c r="C72" s="28" t="s">
        <v>822</v>
      </c>
      <c r="D72" s="28"/>
      <c r="E72" s="28"/>
      <c r="F72" s="28"/>
      <c r="G72" s="28"/>
      <c r="H72" s="28"/>
      <c r="I72" s="28"/>
      <c r="J72" s="28"/>
      <c r="K72" s="28"/>
      <c r="L72" s="28"/>
      <c r="O72" s="13" t="s">
        <v>762</v>
      </c>
      <c r="P72" s="28" t="s">
        <v>823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2:27" ht="12.75">
      <c r="B73" s="13" t="s">
        <v>761</v>
      </c>
      <c r="C73" s="28" t="s">
        <v>824</v>
      </c>
      <c r="D73" s="28"/>
      <c r="E73" s="28"/>
      <c r="F73" s="28"/>
      <c r="G73" s="28"/>
      <c r="H73" s="28"/>
      <c r="I73" s="28"/>
      <c r="J73" s="28"/>
      <c r="K73" s="28"/>
      <c r="L73" s="28"/>
      <c r="O73" s="13" t="s">
        <v>772</v>
      </c>
      <c r="P73" s="28" t="s">
        <v>825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</sheetData>
  <printOptions gridLines="1"/>
  <pageMargins left="1" right="0.1" top="1" bottom="1" header="0.5" footer="0.5"/>
  <pageSetup horizontalDpi="300" verticalDpi="300" orientation="portrait" scale="65" r:id="rId3"/>
  <headerFooter alignWithMargins="0">
    <oddHeader>&amp;LIndustrial Risk Insurers Damage Tables For VCEs&amp;R&amp;D</oddHeader>
    <oddFooter>&amp;LR.A. Hawrelak   PERCS Inc.   519-542-8280&amp;R&amp;f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Hawrelak</dc:creator>
  <cp:keywords/>
  <dc:description/>
  <cp:lastModifiedBy>Dick Hawrelak</cp:lastModifiedBy>
  <dcterms:created xsi:type="dcterms:W3CDTF">1997-03-21T22:03:42Z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